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HhC/fCRQDEEbEEvfGBdaKrehnSgBPrD7vxjjRYkUXeHMk3BH3vOLkWrQ1ehLwvOXmKfdeckvoOhWQfOxyMH8Vw==" workbookSaltValue="/UqJAhf96FFFT3BcTJyg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V17" i="16"/>
  <c r="BV12" i="16"/>
  <c r="BV11" i="16"/>
  <c r="U10" i="17"/>
  <c r="V12" i="16"/>
  <c r="BV9" i="16"/>
  <c r="T13" i="16"/>
  <c r="AA17" i="16"/>
  <c r="T16" i="11"/>
  <c r="Q17" i="17"/>
  <c r="BI9" i="11"/>
  <c r="S10" i="17"/>
  <c r="Q15" i="17"/>
  <c r="BF15" i="11"/>
  <c r="AQ12" i="21"/>
  <c r="BL16" i="11"/>
  <c r="T13" i="20"/>
  <c r="BF15" i="8"/>
  <c r="BF9" i="8"/>
  <c r="L10" i="2"/>
  <c r="AU18" i="21"/>
  <c r="AH13" i="16"/>
  <c r="L15" i="2"/>
  <c r="X10" i="21"/>
  <c r="L9" i="2"/>
  <c r="AP13" i="16"/>
  <c r="V9" i="16"/>
  <c r="T18" i="17"/>
  <c r="BG15" i="13"/>
  <c r="BE16" i="13"/>
  <c r="BE15" i="13"/>
  <c r="AX20" i="20"/>
  <c r="B18" i="7" l="1"/>
  <c r="S19" i="8"/>
  <c r="BG10" i="8"/>
  <c r="B9" i="6"/>
  <c r="H10" i="2"/>
  <c r="U9" i="17"/>
  <c r="U19" i="17" s="1"/>
  <c r="L16" i="2"/>
  <c r="BJ16" i="11"/>
  <c r="BH16" i="11"/>
  <c r="BM17" i="11"/>
  <c r="BH10" i="16"/>
  <c r="AQ10" i="21"/>
  <c r="BH10" i="11"/>
  <c r="BG12" i="11"/>
  <c r="AZ12" i="11"/>
  <c r="BU16" i="17"/>
  <c r="BW10" i="20"/>
  <c r="BW11" i="20"/>
  <c r="BW12" i="20"/>
  <c r="BU10" i="17"/>
  <c r="BU11" i="17"/>
  <c r="BK17" i="11"/>
  <c r="BJ12" i="11"/>
  <c r="BM12" i="11"/>
  <c r="BF10" i="11"/>
  <c r="BM16" i="11"/>
  <c r="BH11" i="16"/>
  <c r="AL16" i="11"/>
  <c r="C16" i="6"/>
  <c r="BE9" i="13"/>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W20" i="16"/>
  <c r="AB20" i="17"/>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<sst xmlns="http://schemas.openxmlformats.org/spreadsheetml/2006/main" count="2088" uniqueCount="910">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</sst>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ZXQuXNqSEuLxMD5kNdk5NSfjt0OFsQi89dpMISu4qaZcEhiTr3/9MLvvpyYaP8fsDiZq0DjPQPOFlfRR7Ahw==" saltValue="qKwVDhGcreGoxFyxNg0R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DENIA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3923</v>
      </c>
      <c r="D9" s="404">
        <f>IF(ISNUMBER(C9/Datos!BH9),C9/Datos!BH9," - ")</f>
        <v>653.83333333333337</v>
      </c>
      <c r="E9" s="403">
        <f>IF(ISNUMBER(IF(J_V="SI",Datos!J9,Datos!J9+Datos!Z9)),IF(J_V="SI",Datos!J9,Datos!J9+Datos!Z9)," - ")</f>
        <v>2935</v>
      </c>
      <c r="F9" s="404">
        <f>IF(ISNUMBER(E9/B9),E9/B9," - ")</f>
        <v>489.16666666666669</v>
      </c>
      <c r="G9" s="403">
        <f>IF(ISNUMBER(IF(J_V="SI",Datos!K9,Datos!K9+Datos!AA9)),IF(J_V="SI",Datos!K9,Datos!K9+Datos!AA9)," - ")</f>
        <v>2522</v>
      </c>
      <c r="H9" s="404">
        <f>IF(ISNUMBER(G9/B9),G9/B9," - ")</f>
        <v>420.33333333333331</v>
      </c>
      <c r="I9" s="403">
        <f>IF(ISNUMBER(IF(J_V="SI",Datos!L9,Datos!L9+Datos!AB9)),IF(J_V="SI",Datos!L9,Datos!L9+Datos!AB9)," - ")</f>
        <v>4336</v>
      </c>
      <c r="J9" s="404">
        <f>IF(ISNUMBER(I9/B9),I9/B9," - ")</f>
        <v>722.66666666666663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56</v>
      </c>
      <c r="D10" s="404">
        <f>IF(ISNUMBER(C10/Datos!BH10),C10/Datos!BH10," - ")</f>
        <v>56</v>
      </c>
      <c r="E10" s="403">
        <f>IF(ISNUMBER(Datos!J10),Datos!J10," - ")</f>
        <v>43</v>
      </c>
      <c r="F10" s="404">
        <f>IF(ISNUMBER(E10/B10),E10/B10," - ")</f>
        <v>43</v>
      </c>
      <c r="G10" s="403">
        <f>IF(ISNUMBER(Datos!K10),Datos!K10," - ")</f>
        <v>38</v>
      </c>
      <c r="H10" s="404">
        <f>IF(ISNUMBER(G10/B10),G10/B10," - ")</f>
        <v>38</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3979</v>
      </c>
      <c r="D13" s="850" t="str">
        <f>IF(ISNUMBER(C13/Datos!BI13),C13/Datos!BI13," - ")</f>
        <v xml:space="preserve"> - </v>
      </c>
      <c r="E13" s="849">
        <f>SUBTOTAL(9,E8:E12)</f>
        <v>2978</v>
      </c>
      <c r="F13" s="850">
        <f>IF(ISNUMBER(E13/B13),E13/B13," - ")</f>
        <v>425.42857142857144</v>
      </c>
      <c r="G13" s="849">
        <f>SUBTOTAL(9,G8:G12)</f>
        <v>2560</v>
      </c>
      <c r="H13" s="850">
        <f>IF(ISNUMBER(G13/B13),G13/B13," - ")</f>
        <v>365.71428571428572</v>
      </c>
      <c r="I13" s="849">
        <f>SUBTOTAL(9,I8:I12)</f>
        <v>4397</v>
      </c>
      <c r="J13" s="850">
        <f>IF(ISNUMBER(I13/B13),I13/B13," - ")</f>
        <v>628.14285714285711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2190</v>
      </c>
      <c r="D15" s="404">
        <f>IF(ISNUMBER(C15/Datos!BH15),C15/Datos!BH15," - ")</f>
        <v>730</v>
      </c>
      <c r="E15" s="403">
        <f>IF(ISNUMBER(IF(D_I="SI",Datos!J15,Datos!J15+Datos!AD15)),IF(D_I="SI",Datos!J15,Datos!J15+Datos!AD15)," - ")</f>
        <v>2294</v>
      </c>
      <c r="F15" s="404">
        <f>IF(ISNUMBER(E15/B15),E15/B15," - ")</f>
        <v>764.66666666666663</v>
      </c>
      <c r="G15" s="403">
        <f>IF(ISNUMBER(IF(D_I="SI",Datos!K15,Datos!K15+Datos!AE15)),IF(D_I="SI",Datos!K15,Datos!K15+Datos!AE15)," - ")</f>
        <v>2022</v>
      </c>
      <c r="H15" s="404">
        <f>IF(ISNUMBER(G15/B15),G15/B15," - ")</f>
        <v>674</v>
      </c>
      <c r="I15" s="403">
        <f>IF(ISNUMBER(IF(D_I="SI",Datos!L15,Datos!L15+Datos!AF15)),IF(D_I="SI",Datos!L15,Datos!L15+Datos!AF15)," - ")</f>
        <v>2462</v>
      </c>
      <c r="J15" s="404">
        <f>IF(ISNUMBER(I15/B15),I15/B15," - ")</f>
        <v>820.66666666666663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14</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14</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117</v>
      </c>
      <c r="D17" s="404">
        <f>IF(ISNUMBER(C17/Datos!BH17),C17/Datos!BH17," - ")</f>
        <v>117</v>
      </c>
      <c r="E17" s="403">
        <f>IF(ISNUMBER(IF(D_I="SI",Datos!J17,Datos!J17+Datos!AD17)),IF(D_I="SI",Datos!J17,Datos!J17+Datos!AD17)," - ")</f>
        <v>281</v>
      </c>
      <c r="F17" s="404">
        <f>IF(ISNUMBER(E17/B17),E17/B17," - ")</f>
        <v>281</v>
      </c>
      <c r="G17" s="403">
        <f>IF(ISNUMBER(IF(D_I="SI",Datos!K17,Datos!K17+Datos!AE17)),IF(D_I="SI",Datos!K17,Datos!K17+Datos!AE17)," - ")</f>
        <v>274</v>
      </c>
      <c r="H17" s="404">
        <f>IF(ISNUMBER(G17/B17),G17/B17," - ")</f>
        <v>274</v>
      </c>
      <c r="I17" s="403">
        <f>IF(ISNUMBER(IF(D_I="SI",Datos!L17,Datos!L17+Datos!AF17)),IF(D_I="SI",Datos!L17,Datos!L17+Datos!AF17)," - ")</f>
        <v>124</v>
      </c>
      <c r="J17" s="404">
        <f>IF(ISNUMBER(I17/B17),I17/B17," - ")</f>
        <v>124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2321</v>
      </c>
      <c r="D18" s="850" t="str">
        <f>IF(ISNUMBER(C18/Datos!BI18),C18/Datos!BI18," - ")</f>
        <v xml:space="preserve"> - </v>
      </c>
      <c r="E18" s="849">
        <f>SUBTOTAL(9,E14:E17)</f>
        <v>2575</v>
      </c>
      <c r="F18" s="850">
        <f>IF(ISNUMBER(E18/B18),E18/B18," - ")</f>
        <v>643.75</v>
      </c>
      <c r="G18" s="849">
        <f>SUBTOTAL(9,G14:G17)</f>
        <v>2296</v>
      </c>
      <c r="H18" s="850">
        <f>IF(ISNUMBER(G18/B18),G18/B18," - ")</f>
        <v>574</v>
      </c>
      <c r="I18" s="849">
        <f>SUBTOTAL(9,I14:I17)</f>
        <v>2600</v>
      </c>
      <c r="J18" s="850">
        <f>IF(ISNUMBER(I18/B18),I18/B18," - ")</f>
        <v>650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6300</v>
      </c>
      <c r="D19" s="795" t="str">
        <f>IF(ISNUMBER(C19/Datos!BI19),C19/Datos!BI19," - ")</f>
        <v xml:space="preserve"> - </v>
      </c>
      <c r="E19" s="794">
        <f>SUBTOTAL(9,E9:E18)</f>
        <v>5553</v>
      </c>
      <c r="F19" s="795">
        <f>IF(ISNUMBER(E19/B19),E19/B19," - ")</f>
        <v>555.29999999999995</v>
      </c>
      <c r="G19" s="794">
        <f>SUBTOTAL(9,G9:G18)</f>
        <v>4856</v>
      </c>
      <c r="H19" s="795">
        <f>IF(ISNUMBER(G19/B19),G19/B19," - ")</f>
        <v>485.6</v>
      </c>
      <c r="I19" s="794">
        <f>SUBTOTAL(9,I9:I18)</f>
        <v>6997</v>
      </c>
      <c r="J19" s="795">
        <f>IF(ISNUMBER(I19/B19),I19/B19," - ")</f>
        <v>699.7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WPGRgxl0p+dkIsEWmI7sUrqnmzQzSTFPOOIauHx3EzmgMrOQnzljJehZi0tLbF+GKgsMvINZFxDr7qxyceouQ==" saltValue="bWvWHfdL0M/Xjy0LEM1O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DENIA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P4R4ltefb1RzWTjOs+Up2ztOESIXjMMKeHRSI82hR5bLjkfomBvKCitK3p5CunTJVpEFTH1v5h6lecBMg1y82w==" saltValue="zQ96PnsJGvywvOA+hRLL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DENIA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494</v>
      </c>
      <c r="E9" s="404">
        <f t="shared" ref="E9:E13" si="0">IF(ISNUMBER(D9/B9),D9/B9," - ")</f>
        <v>82.333333333333329</v>
      </c>
      <c r="F9" s="403">
        <f>IF(ISNUMBER(Datos!N9),Datos!N9," - ")</f>
        <v>1056</v>
      </c>
      <c r="G9" s="404">
        <f t="shared" ref="G9:G13" si="1">IF(ISNUMBER(F9/B9),F9/B9," - ")</f>
        <v>176</v>
      </c>
      <c r="H9" s="403">
        <f>IF(ISNUMBER(Datos!O9),Datos!O9," - ")</f>
        <v>942</v>
      </c>
      <c r="I9" s="404">
        <f>IF(ISNUMBER(H9/B9),H9/B9," - ")</f>
        <v>157</v>
      </c>
      <c r="BZ9" s="1186">
        <f>Datos!EZ9</f>
        <v>0</v>
      </c>
    </row>
    <row r="10" spans="1:78">
      <c r="A10" s="402" t="str">
        <f>Datos!A10</f>
        <v>Jdos. Violencia contra la mujer</v>
      </c>
      <c r="B10" s="427">
        <f>Datos!AO10</f>
        <v>1</v>
      </c>
      <c r="C10" s="410">
        <f>Datos!AQ10</f>
        <v>1</v>
      </c>
      <c r="D10" s="403">
        <f>IF(ISNUMBER(Datos!M10),Datos!M10," - ")</f>
        <v>3</v>
      </c>
      <c r="E10" s="404">
        <f>IF(ISNUMBER(D10/B10),D10/B10," - ")</f>
        <v>3</v>
      </c>
      <c r="F10" s="403">
        <f>IF(ISNUMBER(Datos!N10),Datos!N10," - ")</f>
        <v>22</v>
      </c>
      <c r="G10" s="404">
        <f>IF(ISNUMBER(F10/B10),F10/B10," - ")</f>
        <v>22</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497</v>
      </c>
      <c r="E13" s="850">
        <f t="shared" si="0"/>
        <v>71</v>
      </c>
      <c r="F13" s="849">
        <f>SUBTOTAL(9,F9:F12)</f>
        <v>1078</v>
      </c>
      <c r="G13" s="850">
        <f t="shared" si="1"/>
        <v>154</v>
      </c>
      <c r="H13" s="849">
        <f>SUBTOTAL(9,H9:H12)</f>
        <v>950</v>
      </c>
      <c r="I13" s="850">
        <f>IF(ISNUMBER(H13/B13),H13/B13," - ")</f>
        <v>135.71428571428572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338</v>
      </c>
      <c r="E15" s="404">
        <f t="shared" ref="E15:E18" si="3">IF(ISNUMBER(D15/B15),D15/B15," - ")</f>
        <v>112.66666666666667</v>
      </c>
      <c r="F15" s="403">
        <f>IF(ISNUMBER(Datos!N15),Datos!N15," - ")</f>
        <v>1257</v>
      </c>
      <c r="G15" s="404">
        <f t="shared" ref="G15:G18" si="4">IF(ISNUMBER(F15/B15),F15/B15," - ")</f>
        <v>419</v>
      </c>
      <c r="H15" s="403">
        <f>IF(ISNUMBER(Datos!O15),Datos!O15," - ")</f>
        <v>17</v>
      </c>
      <c r="I15" s="404">
        <f t="shared" ref="I15:I17" si="5">IF(ISNUMBER(H15/B15),H15/B15," - ")</f>
        <v>5.666666666666667</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58</v>
      </c>
      <c r="E17" s="404">
        <f>IF(ISNUMBER(D17/B17),D17/B17," - ")</f>
        <v>58</v>
      </c>
      <c r="F17" s="403">
        <f>IF(ISNUMBER(Datos!N17),Datos!N17," - ")</f>
        <v>152</v>
      </c>
      <c r="G17" s="404">
        <f>IF(ISNUMBER(F17/B17),F17/B17," - ")</f>
        <v>152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396</v>
      </c>
      <c r="E18" s="850">
        <f t="shared" si="3"/>
        <v>99</v>
      </c>
      <c r="F18" s="849">
        <f>SUBTOTAL(9,F15:F17)</f>
        <v>1409</v>
      </c>
      <c r="G18" s="850">
        <f t="shared" si="4"/>
        <v>352.25</v>
      </c>
      <c r="H18" s="849">
        <f>SUBTOTAL(9,H15:H17)</f>
        <v>17</v>
      </c>
      <c r="I18" s="850">
        <f>IF(ISNUMBER(H18/B18),H18/B18," - ")</f>
        <v>4.25</v>
      </c>
      <c r="BZ18" s="1186"/>
    </row>
    <row r="19" spans="1:78" ht="14.25" thickTop="1" thickBot="1">
      <c r="A19" s="793" t="str">
        <f>Datos!A19</f>
        <v>TOTAL JURISDICCIONES</v>
      </c>
      <c r="B19" s="794">
        <f>Datos!AP19</f>
        <v>10</v>
      </c>
      <c r="C19" s="794">
        <f>Datos!AR19</f>
        <v>10</v>
      </c>
      <c r="D19" s="794">
        <f>SUBTOTAL(9,D8:D18)</f>
        <v>893</v>
      </c>
      <c r="E19" s="795">
        <f>IF(ISNUMBER(D19/B19),D19/B19," - ")</f>
        <v>89.3</v>
      </c>
      <c r="F19" s="794">
        <f>SUBTOTAL(9,F8:F18)</f>
        <v>2487</v>
      </c>
      <c r="G19" s="795">
        <f>IF(ISNUMBER(F19/B19),F19/B19," - ")</f>
        <v>248.7</v>
      </c>
      <c r="H19" s="794">
        <f>SUBTOTAL(9,H8:H18)</f>
        <v>967</v>
      </c>
      <c r="I19" s="795">
        <f>IF(ISNUMBER(H19/B19),H19/B19," - ")</f>
        <v>96.7</v>
      </c>
    </row>
    <row r="22" spans="1:78">
      <c r="A22" s="391" t="str">
        <f>Criterios!A4</f>
        <v>Fecha Informe: 27 feb. 2025</v>
      </c>
    </row>
    <row r="27" spans="1:78">
      <c r="A27" s="414"/>
    </row>
  </sheetData>
  <sheetProtection algorithmName="SHA-512" hashValue="8LBclNyDJyKhN3870qWxNSfQJqrlxuUntA2A3NSHjvqQYLvgWY1MNeVxUOFSjOKMLpXcoRYnLs24PjhPDL+RAg==" saltValue="GSXbE6Uhnj3mvW/JadZj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DENIA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549</v>
      </c>
      <c r="C9" s="434">
        <f>IF(ISNUMBER(Datos!Q9),Datos!Q9," - ")</f>
        <v>279</v>
      </c>
      <c r="D9" s="408">
        <f>IF(ISNUMBER(Datos!R9),Datos!R9," - ")</f>
        <v>9142</v>
      </c>
    </row>
    <row r="10" spans="1:4">
      <c r="A10" s="402" t="str">
        <f>Datos!A10</f>
        <v>Jdos. Violencia contra la mujer</v>
      </c>
      <c r="B10" s="433">
        <f>IF(ISNUMBER(Datos!P10),Datos!P10," - ")</f>
        <v>5</v>
      </c>
      <c r="C10" s="434">
        <f>IF(ISNUMBER(Datos!Q10),Datos!Q10," - ")</f>
        <v>3</v>
      </c>
      <c r="D10" s="408">
        <f>IF(ISNUMBER(Datos!R10),Datos!R10," - ")</f>
        <v>49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554</v>
      </c>
      <c r="C13" s="853">
        <f>SUBTOTAL(9,C9:C12)</f>
        <v>282</v>
      </c>
      <c r="D13" s="851">
        <f>SUBTOTAL(9,D9:D12)</f>
        <v>9191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45</v>
      </c>
      <c r="C15" s="434">
        <f>IF(ISNUMBER(Datos!Q15),Datos!Q15," - ")</f>
        <v>80</v>
      </c>
      <c r="D15" s="408">
        <f>IF(ISNUMBER(Datos!R15),Datos!R15," - ")</f>
        <v>245</v>
      </c>
    </row>
    <row r="16" spans="1:4">
      <c r="A16" s="402" t="str">
        <f>Datos!A16</f>
        <v xml:space="preserve">Jdos. 1ª Instª. e Instr.                        </v>
      </c>
      <c r="B16" s="433">
        <f>IF(ISNUMBER(Datos!P16),Datos!P16," - ")</f>
        <v>0</v>
      </c>
      <c r="C16" s="434">
        <f>IF(ISNUMBER(Datos!Q16),Datos!Q16," - ")</f>
        <v>0</v>
      </c>
      <c r="D16" s="408">
        <f>IF(ISNUMBER(Datos!R16),Datos!R16," - ")</f>
        <v>6</v>
      </c>
    </row>
    <row r="17" spans="1:4" ht="13.5" thickBot="1">
      <c r="A17" s="402" t="str">
        <f>Datos!A17</f>
        <v>Jdos. Violencia contra la mujer</v>
      </c>
      <c r="B17" s="433">
        <f>IF(ISNUMBER(Datos!P17),Datos!P17," - ")</f>
        <v>11</v>
      </c>
      <c r="C17" s="434">
        <f>IF(ISNUMBER(Datos!Q17),Datos!Q17," - ")</f>
        <v>16</v>
      </c>
      <c r="D17" s="408">
        <f>IF(ISNUMBER(Datos!R17),Datos!R17," - ")</f>
        <v>12</v>
      </c>
    </row>
    <row r="18" spans="1:4" ht="14.25" thickTop="1" thickBot="1">
      <c r="A18" s="848" t="str">
        <f>Datos!A18</f>
        <v>TOTAL</v>
      </c>
      <c r="B18" s="849">
        <f>SUBTOTAL(9,B15:B17)</f>
        <v>56</v>
      </c>
      <c r="C18" s="853">
        <f>SUBTOTAL(9,C15:C17)</f>
        <v>96</v>
      </c>
      <c r="D18" s="851">
        <f>SUBTOTAL(9,D15:D17)</f>
        <v>263</v>
      </c>
    </row>
    <row r="19" spans="1:4" ht="16.5" customHeight="1" thickTop="1" thickBot="1">
      <c r="A19" s="793" t="str">
        <f>Datos!A19</f>
        <v>TOTAL JURISDICCIONES</v>
      </c>
      <c r="B19" s="798">
        <f>SUBTOTAL(9,B8:B18)</f>
        <v>610</v>
      </c>
      <c r="C19" s="799">
        <f>SUBTOTAL(9,C8:C18)</f>
        <v>378</v>
      </c>
      <c r="D19" s="800">
        <f>SUBTOTAL(9,D8:D18)</f>
        <v>9454</v>
      </c>
    </row>
    <row r="20" spans="1:4" ht="7.5" customHeight="1"/>
    <row r="21" spans="1:4" ht="6" customHeight="1"/>
    <row r="22" spans="1:4">
      <c r="A22" s="391" t="str">
        <f>Criterios!A4</f>
        <v>Fecha Informe: 27 feb. 2025</v>
      </c>
    </row>
    <row r="27" spans="1:4">
      <c r="A27" s="414"/>
    </row>
  </sheetData>
  <sheetProtection algorithmName="SHA-512" hashValue="0jfOtgX1ELTDbIqy6tHDLEj5V1+XY+l6EnhJaeBgqJo1udbIV+Uk7JzJzi+QVkpLv0CitSLmhUljoPVoF3vBKA==" saltValue="WolY9u34fEPEMl3RS3YG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DENIA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0.50710718401844024</v>
      </c>
      <c r="C9" s="456">
        <f>IF(ISNUMBER(
   IF(J_V="SI",(Datos!J9-Datos!T9)/Datos!T9,(Datos!J9+Datos!Z9-(Datos!T9+Datos!AH9))/(Datos!T9+Datos!AH9))
     ),IF(J_V="SI",(Datos!J9-Datos!T9)/Datos!T9,(Datos!J9+Datos!Z9-(Datos!T9+Datos!AH9))/(Datos!T9+Datos!AH9))," - ")</f>
        <v>7.4304538799414344E-2</v>
      </c>
      <c r="D9" s="456">
        <f>IF(ISNUMBER(
   IF(J_V="SI",(Datos!K9-Datos!U9)/Datos!U9,(Datos!K9+Datos!AA9-(Datos!U9+Datos!AI9))/(Datos!U9+Datos!AI9))
     ),IF(J_V="SI",(Datos!K9-Datos!U9)/Datos!U9,(Datos!K9+Datos!AA9-(Datos!U9+Datos!AI9))/(Datos!U9+Datos!AI9))," - ")</f>
        <v>8.8946459412780662E-2</v>
      </c>
      <c r="E9" s="456">
        <f>IF(ISNUMBER(
   IF(J_V="SI",(Datos!L9-Datos!V9)/Datos!V9,(Datos!L9+Datos!AB9-(Datos!V9+Datos!AJ9))/(Datos!V9+Datos!AJ9))
     ),IF(J_V="SI",(Datos!L9-Datos!V9)/Datos!V9,(Datos!L9+Datos!AB9-(Datos!V9+Datos!AJ9))/(Datos!V9+Datos!AJ9))," - ")</f>
        <v>0.43576158940397353</v>
      </c>
      <c r="F9" s="456">
        <f>IF(ISNUMBER((Datos!M9-Datos!W9)/Datos!W9),(Datos!M9-Datos!W9)/Datos!W9," - ")</f>
        <v>6.236559139784946E-2</v>
      </c>
      <c r="G9" s="457">
        <f>IF(ISNUMBER((Datos!N9-Datos!X9)/Datos!X9),(Datos!N9-Datos!X9)/Datos!X9," - ")</f>
        <v>0.14533622559652928</v>
      </c>
      <c r="H9" s="455">
        <f>IF(ISNUMBER(((NºAsuntos!G9/NºAsuntos!E9)-Datos!BD9)/Datos!BD9),((NºAsuntos!G9/NºAsuntos!E9)-Datos!BD9)/Datos!BD9," - ")</f>
        <v>1.3629208557314089E-2</v>
      </c>
      <c r="I9" s="456">
        <f>IF(ISNUMBER(((NºAsuntos!I9/NºAsuntos!G9)-Datos!BE9)/Datos!BE9),((NºAsuntos!I9/NºAsuntos!G9)-Datos!BE9)/Datos!BE9," - ")</f>
        <v>0.31848685212514</v>
      </c>
      <c r="J9" s="461">
        <f>IF(ISNUMBER((('Resol  Asuntos'!D9/NºAsuntos!G9)-Datos!BF9)/Datos!BF9),(('Resol  Asuntos'!D9/NºAsuntos!G9)-Datos!BF9)/Datos!BF9," - ")</f>
        <v>-0.50797235950533348</v>
      </c>
      <c r="K9" s="462">
        <f>IF(ISNUMBER((((NºAsuntos!C9+NºAsuntos!E9)/NºAsuntos!G9)-Datos!BG9)/Datos!BG9),(((NºAsuntos!C9+NºAsuntos!E9)/NºAsuntos!G9)-Datos!BG9)/Datos!BG9," - ")</f>
        <v>0.18047428180279709</v>
      </c>
    </row>
    <row r="10" spans="1:11">
      <c r="A10" s="402" t="str">
        <f>Datos!A10</f>
        <v>Jdos. Violencia contra la mujer</v>
      </c>
      <c r="B10" s="455">
        <f>IF(ISNUMBER((Datos!I10-Datos!S10)/Datos!S10),(Datos!I10-Datos!S10)/Datos!S10," - ")</f>
        <v>-0.16417910447761194</v>
      </c>
      <c r="C10" s="456">
        <f>IF(ISNUMBER((Datos!J10-Datos!T10)/Datos!T10),(Datos!J10-Datos!T10)/Datos!T10," - ")</f>
        <v>-4.4444444444444446E-2</v>
      </c>
      <c r="D10" s="456">
        <f>IF(ISNUMBER((Datos!K10-Datos!U10)/Datos!U10),(Datos!K10-Datos!U10)/Datos!U10," - ")</f>
        <v>0</v>
      </c>
      <c r="E10" s="456">
        <f>IF(ISNUMBER((Datos!L10-Datos!V10)/Datos!V10),(Datos!L10-Datos!V10)/Datos!V10," - ")</f>
        <v>-0.17567567567567569</v>
      </c>
      <c r="F10" s="456">
        <f>IF(ISNUMBER((Datos!M10-Datos!W10)/Datos!W10),(Datos!M10-Datos!W10)/Datos!W10," - ")</f>
        <v>-0.84210526315789469</v>
      </c>
      <c r="G10" s="457">
        <f>IF(ISNUMBER((Datos!N10-Datos!X10)/Datos!X10),(Datos!N10-Datos!X10)/Datos!X10," - ")</f>
        <v>0.375</v>
      </c>
      <c r="H10" s="455">
        <f>IF(ISNUMBER(((NºAsuntos!G10/NºAsuntos!E10)-Datos!BD10)/Datos!BD10),((NºAsuntos!G10/NºAsuntos!E10)-Datos!BD10)/Datos!BD10," - ")</f>
        <v>4.6511627906976764E-2</v>
      </c>
      <c r="I10" s="456">
        <f>IF(ISNUMBER(((NºAsuntos!I10/NºAsuntos!G10)-Datos!BE10)/Datos!BE10),((NºAsuntos!I10/NºAsuntos!G10)-Datos!BE10)/Datos!BE10," - ")</f>
        <v>-0.17567567567567566</v>
      </c>
      <c r="J10" s="461">
        <f>IF(ISNUMBER((('Resol  Asuntos'!D10/NºAsuntos!G10)-Datos!BF10)/Datos!BF10),(('Resol  Asuntos'!D10/NºAsuntos!G10)-Datos!BF10)/Datos!BF10," - ")</f>
        <v>-0.84210526315789469</v>
      </c>
      <c r="K10" s="462">
        <f>IF(ISNUMBER((((NºAsuntos!C10+NºAsuntos!E10)/NºAsuntos!G10)-Datos!BG10)/Datos!BG10),(((NºAsuntos!C10+NºAsuntos!E10)/NºAsuntos!G10)-Datos!BG10)/Datos!BG10," - ")</f>
        <v>-0.11607142857142856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0.49026217228464419</v>
      </c>
      <c r="C13" s="855">
        <f>IF(ISNUMBER(
   IF(J_V="SI",(Datos!J13-Datos!T13)/Datos!T13,(Datos!J13+Datos!Z13-(Datos!T13+Datos!AH13))/(Datos!T13+Datos!AH13))
     ),IF(J_V="SI",(Datos!J13-Datos!T13)/Datos!T13,(Datos!J13+Datos!Z13-(Datos!T13+Datos!AH13))/(Datos!T13+Datos!AH13))," - ")</f>
        <v>7.2380266474612889E-2</v>
      </c>
      <c r="D13" s="855">
        <f>IF(ISNUMBER(
   IF(J_V="SI",(Datos!K13-Datos!U13)/Datos!U13,(Datos!K13+Datos!AA13-(Datos!U13+Datos!AI13))/(Datos!U13+Datos!AI13))
     ),IF(J_V="SI",(Datos!K13-Datos!U13)/Datos!U13,(Datos!K13+Datos!AA13-(Datos!U13+Datos!AI13))/(Datos!U13+Datos!AI13))," - ")</f>
        <v>8.7510620220900601E-2</v>
      </c>
      <c r="E13" s="855">
        <f>IF(ISNUMBER(
   IF(J_V="SI",(Datos!L13-Datos!V13)/Datos!V13,(Datos!L13+Datos!AB13-(Datos!V13+Datos!AJ13))/(Datos!V13+Datos!AJ13))
     ),IF(J_V="SI",(Datos!L13-Datos!V13)/Datos!V13,(Datos!L13+Datos!AB13-(Datos!V13+Datos!AJ13))/(Datos!V13+Datos!AJ13))," - ")</f>
        <v>0.4211376858435682</v>
      </c>
      <c r="F13" s="856">
        <f>IF(ISNUMBER((Datos!M13-Datos!W13)/Datos!W13),(Datos!M13-Datos!W13)/Datos!W13," - ")</f>
        <v>2.6859504132231406E-2</v>
      </c>
      <c r="G13" s="857">
        <f>IF(ISNUMBER((Datos!N13-Datos!X13)/Datos!X13),(Datos!N13-Datos!X13)/Datos!X13," - ")</f>
        <v>0.14925373134328357</v>
      </c>
      <c r="H13" s="857">
        <f>IF(ISNUMBER(((NºAsuntos!G13/NºAsuntos!E13)-Datos!BD13)/Datos!BD13),((NºAsuntos!G13/NºAsuntos!E13)-Datos!BD13)/Datos!BD13," - ")</f>
        <v>1.4109131079060085E-2</v>
      </c>
      <c r="I13" s="857">
        <f>IF(ISNUMBER(((NºAsuntos!I13/NºAsuntos!G13)-Datos!BE13)/Datos!BE13),((NºAsuntos!I13/NºAsuntos!G13)-Datos!BE13)/Datos!BE13," - ")</f>
        <v>0.30678051268584361</v>
      </c>
      <c r="J13" s="857">
        <f>IF(ISNUMBER((('Resol  Asuntos'!D13/NºAsuntos!G13)-Datos!BF13)/Datos!BF13),(('Resol  Asuntos'!D13/NºAsuntos!G13)-Datos!BF13)/Datos!BF13," - ")</f>
        <v>-0.51433896785334754</v>
      </c>
      <c r="K13" s="857">
        <f>IF(ISNUMBER((((NºAsuntos!C13+NºAsuntos!E13)/NºAsuntos!G13)-Datos!BG13)/Datos!BG13),(((NºAsuntos!C13+NºAsuntos!E13)/NºAsuntos!G13)-Datos!BG13)/Datos!BG13," - ")</f>
        <v>0.17444077588580889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4.0380047505938245E-2</v>
      </c>
      <c r="C15" s="456">
        <f>IF(ISNUMBER(
   IF(D_I="SI",(Datos!J15-Datos!T15)/Datos!T15,(Datos!J15+Datos!AD15-(Datos!T15+Datos!AL15))/(Datos!T15+Datos!AL15))
     ),IF(D_I="SI",(Datos!J15-Datos!T15)/Datos!T15,(Datos!J15+Datos!AD15-(Datos!T15+Datos!AL15))/(Datos!T15+Datos!AL15))," - ")</f>
        <v>7.1962616822429909E-2</v>
      </c>
      <c r="D15" s="456">
        <f>IF(ISNUMBER(
   IF(D_I="SI",(Datos!K15-Datos!U15)/Datos!U15,(Datos!K15+Datos!AE15-(Datos!U15+Datos!AM15))/(Datos!U15+Datos!AM15))
     ),IF(D_I="SI",(Datos!K15-Datos!U15)/Datos!U15,(Datos!K15+Datos!AE15-(Datos!U15+Datos!AM15))/(Datos!U15+Datos!AM15))," - ")</f>
        <v>7.1542130365659776E-2</v>
      </c>
      <c r="E15" s="456">
        <f>IF(ISNUMBER(
   IF(D_I="SI",(Datos!L15-Datos!V15)/Datos!V15,(Datos!L15+Datos!AF15-(Datos!V15+Datos!AN15))/(Datos!V15+Datos!AN15))
     ),IF(D_I="SI",(Datos!L15-Datos!V15)/Datos!V15,(Datos!L15+Datos!AF15-(Datos!V15+Datos!AN15))/(Datos!V15+Datos!AN15))," - ")</f>
        <v>3.6195286195286197E-2</v>
      </c>
      <c r="F15" s="456">
        <f>IF(ISNUMBER((Datos!M15-Datos!W15)/Datos!W15),(Datos!M15-Datos!W15)/Datos!W15," - ")</f>
        <v>0.13043478260869565</v>
      </c>
      <c r="G15" s="457">
        <f>IF(ISNUMBER((Datos!N15-Datos!X15)/Datos!X15),(Datos!N15-Datos!X15)/Datos!X15," - ")</f>
        <v>0.19259962049335863</v>
      </c>
      <c r="H15" s="455">
        <f>IF(ISNUMBER(((NºAsuntos!G15/NºAsuntos!E15)-Datos!BD15)/Datos!BD15),((NºAsuntos!G15/NºAsuntos!E15)-Datos!BD15)/Datos!BD15," - ")</f>
        <v>-3.9225850805928592E-4</v>
      </c>
      <c r="I15" s="456">
        <f>IF(ISNUMBER(((NºAsuntos!I15/NºAsuntos!G15)-Datos!BE15)/Datos!BE15),((NºAsuntos!I15/NºAsuntos!G15)-Datos!BE15)/Datos!BE15," - ")</f>
        <v>-3.298689166641685E-2</v>
      </c>
      <c r="J15" s="461">
        <f>IF(ISNUMBER((('Resol  Asuntos'!D15/NºAsuntos!G15)-Datos!BF15)/Datos!BF15),(('Resol  Asuntos'!D15/NºAsuntos!G15)-Datos!BF15)/Datos!BF15," - ")</f>
        <v>5.4960650238678806E-2</v>
      </c>
      <c r="K15" s="462">
        <f>IF(ISNUMBER((((NºAsuntos!C15+NºAsuntos!E15)/NºAsuntos!G15)-Datos!BG15)/Datos!BG15),(((NºAsuntos!C15+NºAsuntos!E15)/NºAsuntos!G15)-Datos!BG15)/Datos!BG15," - ")</f>
        <v>-1.4223051731309125E-2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-0.125</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-0.24025974025974026</v>
      </c>
      <c r="C17" s="456">
        <f>IF(ISNUMBER(
   IF(D_I="SI",(Datos!J17-Datos!T17)/Datos!T17,(Datos!J17+Datos!AD17-(Datos!T17+Datos!AL17))/(Datos!T17+Datos!AL17))
     ),IF(D_I="SI",(Datos!J17-Datos!T17)/Datos!T17,(Datos!J17+Datos!AD17-(Datos!T17+Datos!AL17))/(Datos!T17+Datos!AL17))," - ")</f>
        <v>-0.10793650793650794</v>
      </c>
      <c r="D17" s="456">
        <f>IF(ISNUMBER(
   IF(D_I="SI",(Datos!K17-Datos!U17)/Datos!U17,(Datos!K17+Datos!AE17-(Datos!U17+Datos!AM17))/(Datos!U17+Datos!AM17))
     ),IF(D_I="SI",(Datos!K17-Datos!U17)/Datos!U17,(Datos!K17+Datos!AE17-(Datos!U17+Datos!AM17))/(Datos!U17+Datos!AM17))," - ")</f>
        <v>-0.10749185667752444</v>
      </c>
      <c r="E17" s="456">
        <f>IF(ISNUMBER(
   IF(D_I="SI",(Datos!L17-Datos!V17)/Datos!V17,(Datos!L17+Datos!AF17-(Datos!V17+Datos!AN17))/(Datos!V17+Datos!AN17))
     ),IF(D_I="SI",(Datos!L17-Datos!V17)/Datos!V17,(Datos!L17+Datos!AF17-(Datos!V17+Datos!AN17))/(Datos!V17+Datos!AN17))," - ")</f>
        <v>-0.24848484848484848</v>
      </c>
      <c r="F17" s="456">
        <f>IF(ISNUMBER((Datos!M17-Datos!W17)/Datos!W17),(Datos!M17-Datos!W17)/Datos!W17," - ")</f>
        <v>7.407407407407407E-2</v>
      </c>
      <c r="G17" s="457">
        <f>IF(ISNUMBER((Datos!N17-Datos!X17)/Datos!X17),(Datos!N17-Datos!X17)/Datos!X17," - ")</f>
        <v>-0.05</v>
      </c>
      <c r="H17" s="455">
        <f>IF(ISNUMBER(((NºAsuntos!G17/NºAsuntos!E17)-Datos!BD17)/Datos!BD17),((NºAsuntos!G17/NºAsuntos!E17)-Datos!BD17)/Datos!BD17," - ")</f>
        <v>4.9845247893167853E-4</v>
      </c>
      <c r="I17" s="456">
        <f>IF(ISNUMBER(((NºAsuntos!I17/NºAsuntos!G17)-Datos!BE17)/Datos!BE17),((NºAsuntos!I17/NºAsuntos!G17)-Datos!BE17)/Datos!BE17," - ")</f>
        <v>-0.15797389957973901</v>
      </c>
      <c r="J17" s="461">
        <f>IF(ISNUMBER((('Resol  Asuntos'!D17/NºAsuntos!G17)-Datos!BF17)/Datos!BF17),(('Resol  Asuntos'!D17/NºAsuntos!G17)-Datos!BF17)/Datos!BF17," - ")</f>
        <v>0.20343336036766693</v>
      </c>
      <c r="K17" s="462">
        <f>IF(ISNUMBER((((NºAsuntos!C17+NºAsuntos!E17)/NºAsuntos!G17)-Datos!BG17)/Datos!BG17),(((NºAsuntos!C17+NºAsuntos!E17)/NºAsuntos!G17)-Datos!BG17)/Datos!BG17," - ")</f>
        <v>-4.9180583007797381E-2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2.0219780219780221E-2</v>
      </c>
      <c r="C18" s="855">
        <f>IF(ISNUMBER(
   IF(Criterios!B14="SI",(Datos!J18-Datos!T18)/Datos!T18,(Datos!J18+Datos!AD18-(Datos!T18+Datos!AL18))/(Datos!T18+Datos!AL18))
     ),IF(Criterios!B14="SI",(Datos!J18-Datos!T18)/Datos!T18,(Datos!J18+Datos!AD18-(Datos!T18+Datos!AL18))/(Datos!T18+Datos!AL18))," - ")</f>
        <v>4.8879837067209775E-2</v>
      </c>
      <c r="D18" s="855">
        <f>IF(ISNUMBER(
   IF(Criterios!B14="SI",(Datos!K18-Datos!U18)/Datos!U18,(Datos!K18+Datos!AE18-(Datos!U18+Datos!AM18))/(Datos!U18+Datos!AM18))
     ),IF(Criterios!B14="SI",(Datos!K18-Datos!U18)/Datos!U18,(Datos!K18+Datos!AE18-(Datos!U18+Datos!AM18))/(Datos!U18+Datos!AM18))," - ")</f>
        <v>4.6490428441203283E-2</v>
      </c>
      <c r="E18" s="855">
        <f>IF(ISNUMBER(
   IF(Criterios!B14="SI",(Datos!L18-Datos!V18)/Datos!V18,(Datos!L18+Datos!AF18-(Datos!V18+Datos!AN18))/(Datos!V18+Datos!AN18))
     ),IF(Criterios!B14="SI",(Datos!L18-Datos!V18)/Datos!V18,(Datos!L18+Datos!AF18-(Datos!V18+Datos!AN18))/(Datos!V18+Datos!AN18))," - ")</f>
        <v>1.7612524461839529E-2</v>
      </c>
      <c r="F18" s="856">
        <f>IF(ISNUMBER((Datos!M18-Datos!W18)/Datos!W18),(Datos!M18-Datos!W18)/Datos!W18," - ")</f>
        <v>0.12181303116147309</v>
      </c>
      <c r="G18" s="857">
        <f>IF(ISNUMBER((Datos!N18-Datos!X18)/Datos!X18),(Datos!N18-Datos!X18)/Datos!X18," - ")</f>
        <v>0.16062602965403625</v>
      </c>
      <c r="H18" s="857">
        <f>IF(ISNUMBER(((NºAsuntos!G18/NºAsuntos!E18)-Datos!BD18)/Datos!BD18),((NºAsuntos!G18/NºAsuntos!E18)-Datos!BD18)/Datos!BD18," - ")</f>
        <v>-2.278057544406192E-3</v>
      </c>
      <c r="I18" s="857">
        <f>IF(ISNUMBER(((NºAsuntos!I18/NºAsuntos!G18)-Datos!BE18)/Datos!BE18),((NºAsuntos!I18/NºAsuntos!G18)-Datos!BE18)/Datos!BE18," - ")</f>
        <v>-2.7595000579583674E-2</v>
      </c>
      <c r="J18" s="857">
        <f>IF(ISNUMBER((('Resol  Asuntos'!D18/NºAsuntos!G18)-Datos!BF18)/Datos!BF18),(('Resol  Asuntos'!D18/NºAsuntos!G18)-Datos!BF18)/Datos!BF18," - ")</f>
        <v>7.197638953321947E-2</v>
      </c>
      <c r="K18" s="857">
        <f>IF(ISNUMBER((((NºAsuntos!C18+NºAsuntos!E18)/NºAsuntos!G18)-Datos!BG18)/Datos!BG18),(((NºAsuntos!C18+NºAsuntos!E18)/NºAsuntos!G18)-Datos!BG18)/Datos!BG18," - ")</f>
        <v>-1.0889054224278409E-2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0.27401415571284127</v>
      </c>
      <c r="C19" s="802">
        <f>IF(ISNUMBER(
   IF(J_V="SI",(Datos!J19-Datos!T19)/Datos!T19,(Datos!J19+Datos!Z19-(Datos!T19+Datos!AH19))/(Datos!T19+Datos!AH19))
     ),IF(J_V="SI",(Datos!J19-Datos!T19)/Datos!T19,(Datos!J19+Datos!Z19-(Datos!T19+Datos!AH19))/(Datos!T19+Datos!AH19))," - ")</f>
        <v>6.1353211009174312E-2</v>
      </c>
      <c r="D19" s="802">
        <f>IF(ISNUMBER(
   IF(J_V="SI",(Datos!K19-Datos!U19)/Datos!U19,(Datos!K19+Datos!AA19-(Datos!U19+Datos!AI19))/(Datos!U19+Datos!AI19))
     ),IF(J_V="SI",(Datos!K19-Datos!U19)/Datos!U19,(Datos!K19+Datos!AA19-(Datos!U19+Datos!AI19))/(Datos!U19+Datos!AI19))," - ")</f>
        <v>6.7722075637642917E-2</v>
      </c>
      <c r="E19" s="802">
        <f>IF(ISNUMBER(
   IF(J_V="SI",(Datos!L19-Datos!V19)/Datos!V19,(Datos!L19+Datos!AB19-(Datos!V19+Datos!AJ19))/(Datos!V19+Datos!AJ19))
     ),IF(J_V="SI",(Datos!L19-Datos!V19)/Datos!V19,(Datos!L19+Datos!AB19-(Datos!V19+Datos!AJ19))/(Datos!V19+Datos!AJ19))," - ")</f>
        <v>0.23862630554080369</v>
      </c>
      <c r="F19" s="803">
        <f>IF(ISNUMBER((Datos!M19-Datos!W19)/Datos!W19),(Datos!M19-Datos!W19)/Datos!W19," - ")</f>
        <v>6.6905615292712065E-2</v>
      </c>
      <c r="G19" s="804">
        <f>IF(ISNUMBER((Datos!N19-Datos!X19)/Datos!X19),(Datos!N19-Datos!X19)/Datos!X19," - ")</f>
        <v>0.15566914498141263</v>
      </c>
      <c r="H19" s="805">
        <f>IF(ISNUMBER((Tasas!B19-Datos!BD19)/Datos!BD19),(Tasas!B19-Datos!BD19)/Datos!BD19," - ")</f>
        <v>6.0007022755534465E-3</v>
      </c>
      <c r="I19" s="806">
        <f>IF(ISNUMBER((Tasas!C19-Datos!BE19)/Datos!BE19),(Tasas!C19-Datos!BE19)/Datos!BE19," - ")</f>
        <v>0.16006434052709537</v>
      </c>
      <c r="J19" s="807">
        <f>IF(ISNUMBER((Tasas!D19-Datos!BF19)/Datos!BF19),(Tasas!D19-Datos!BF19)/Datos!BF19," - ")</f>
        <v>-0.35366308574105815</v>
      </c>
      <c r="K19" s="807">
        <f>IF(ISNUMBER((Tasas!E19-Datos!BG19)/Datos!BG19),(Tasas!E19-Datos!BG19)/Datos!BG19," - ")</f>
        <v>9.0812956631380809E-2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McqfNKg1K4R/WmGhx4gzsqrdAWy5/wA3RetREFwj+w2FitV7T15Cel2rK5v81/q8Z9VTSBgY0aMA+km9Ezp7w==" saltValue="uxXn3ore7riSCNHCNTK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DENIA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0.85928449744463375</v>
      </c>
      <c r="C9" s="443">
        <f>IF(ISNUMBER(NºAsuntos!I9/NºAsuntos!G9),NºAsuntos!I9/NºAsuntos!G9," - ")</f>
        <v>1.7192704203013482</v>
      </c>
      <c r="D9" s="444">
        <f>IF(ISNUMBER('Resol  Asuntos'!D9/NºAsuntos!G9),'Resol  Asuntos'!D9/NºAsuntos!G9," - ")</f>
        <v>0.19587628865979381</v>
      </c>
      <c r="E9" s="445">
        <f>IF(ISNUMBER((NºAsuntos!C9+NºAsuntos!E9)/NºAsuntos!G9),(NºAsuntos!C9+NºAsuntos!E9)/NºAsuntos!G9," - ")</f>
        <v>2.7192704203013482</v>
      </c>
      <c r="G9" s="463"/>
    </row>
    <row r="10" spans="1:7">
      <c r="A10" s="402" t="str">
        <f>Datos!A10</f>
        <v>Jdos. Violencia contra la mujer</v>
      </c>
      <c r="B10" s="442">
        <f>IF(ISNUMBER(NºAsuntos!G10/NºAsuntos!E10),NºAsuntos!G10/NºAsuntos!E10," - ")</f>
        <v>0.88372093023255816</v>
      </c>
      <c r="C10" s="443">
        <f>IF(ISNUMBER(NºAsuntos!I10/NºAsuntos!G10),NºAsuntos!I10/NºAsuntos!G10," - ")</f>
        <v>1.6052631578947369</v>
      </c>
      <c r="D10" s="444">
        <f>IF(ISNUMBER('Resol  Asuntos'!D10/NºAsuntos!G10),'Resol  Asuntos'!D10/NºAsuntos!G10," - ")</f>
        <v>7.8947368421052627E-2</v>
      </c>
      <c r="E10" s="445">
        <f>IF(ISNUMBER((NºAsuntos!C10+NºAsuntos!E10)/NºAsuntos!G10),(NºAsuntos!C10+NºAsuntos!E10)/NºAsuntos!G10," - ")</f>
        <v>2.6052631578947367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0.85963734049697782</v>
      </c>
      <c r="C13" s="859">
        <f>IF(ISNUMBER(NºAsuntos!I13/NºAsuntos!G13),NºAsuntos!I13/NºAsuntos!G13," - ")</f>
        <v>1.717578125</v>
      </c>
      <c r="D13" s="860">
        <f>IF(ISNUMBER('Resol  Asuntos'!D13/NºAsuntos!G13),'Resol  Asuntos'!D13/NºAsuntos!G13," - ")</f>
        <v>0.19414062500000001</v>
      </c>
      <c r="E13" s="861">
        <f>IF(ISNUMBER((NºAsuntos!C13+NºAsuntos!E13)/NºAsuntos!G13),(NºAsuntos!C13+NºAsuntos!E13)/NºAsuntos!G13," - ")</f>
        <v>2.7175781250000002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0.88142981691368794</v>
      </c>
      <c r="C15" s="443">
        <f>IF(ISNUMBER(NºAsuntos!I15/NºAsuntos!G15),NºAsuntos!I15/NºAsuntos!G15," - ")</f>
        <v>1.2176063303659743</v>
      </c>
      <c r="D15" s="444">
        <f>IF(ISNUMBER('Resol  Asuntos'!D15/NºAsuntos!G15),'Resol  Asuntos'!D15/NºAsuntos!G15," - ")</f>
        <v>0.16716122650840751</v>
      </c>
      <c r="E15" s="445">
        <f>IF(ISNUMBER((NºAsuntos!C15+NºAsuntos!E15)/NºAsuntos!G15),(NºAsuntos!C15+NºAsuntos!E15)/NºAsuntos!G15," - ")</f>
        <v>2.2176063303659741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0.97508896797153022</v>
      </c>
      <c r="C17" s="443">
        <f>IF(ISNUMBER(NºAsuntos!I17/NºAsuntos!G17),NºAsuntos!I17/NºAsuntos!G17," - ")</f>
        <v>0.45255474452554745</v>
      </c>
      <c r="D17" s="444">
        <f>IF(ISNUMBER('Resol  Asuntos'!D17/NºAsuntos!G17),'Resol  Asuntos'!D17/NºAsuntos!G17," - ")</f>
        <v>0.21167883211678831</v>
      </c>
      <c r="E17" s="445">
        <f>IF(ISNUMBER((NºAsuntos!C17+NºAsuntos!E17)/NºAsuntos!G17),(NºAsuntos!C17+NºAsuntos!E17)/NºAsuntos!G17," - ")</f>
        <v>1.4525547445255473</v>
      </c>
      <c r="G17" s="463"/>
    </row>
    <row r="18" spans="1:7" ht="14.25" thickTop="1" thickBot="1">
      <c r="A18" s="848" t="str">
        <f>Datos!A18</f>
        <v>TOTAL</v>
      </c>
      <c r="B18" s="858">
        <f>IF(ISNUMBER(NºAsuntos!G18/NºAsuntos!E18),NºAsuntos!G18/NºAsuntos!E18," - ")</f>
        <v>0.89165048543689318</v>
      </c>
      <c r="C18" s="859">
        <f>IF(ISNUMBER(NºAsuntos!I18/NºAsuntos!G18),NºAsuntos!I18/NºAsuntos!G18," - ")</f>
        <v>1.132404181184669</v>
      </c>
      <c r="D18" s="862">
        <f>IF(ISNUMBER('Resol  Asuntos'!D18/NºAsuntos!G18),'Resol  Asuntos'!D18/NºAsuntos!G18," - ")</f>
        <v>0.17247386759581881</v>
      </c>
      <c r="E18" s="861">
        <f>IF(ISNUMBER((NºAsuntos!C18+NºAsuntos!E18)/NºAsuntos!G18),(NºAsuntos!C18+NºAsuntos!E18)/NºAsuntos!G18," - ")</f>
        <v>2.1324041811846688</v>
      </c>
      <c r="G18" s="463"/>
    </row>
    <row r="19" spans="1:7" ht="15.75" customHeight="1" thickTop="1" thickBot="1">
      <c r="A19" s="793" t="str">
        <f>Datos!A19</f>
        <v>TOTAL JURISDICCIONES</v>
      </c>
      <c r="B19" s="808">
        <f>IF(ISNUMBER(NºAsuntos!G19/NºAsuntos!E19),NºAsuntos!G19/NºAsuntos!E19," - ")</f>
        <v>0.87448226184044664</v>
      </c>
      <c r="C19" s="809">
        <f>IF(ISNUMBER(NºAsuntos!I19/NºAsuntos!G19),NºAsuntos!I19/NºAsuntos!G19," - ")</f>
        <v>1.4408978583196046</v>
      </c>
      <c r="D19" s="810">
        <f>IF(ISNUMBER('Resol  Asuntos'!D19/NºAsuntos!G19),'Resol  Asuntos'!D19/NºAsuntos!G19," - ")</f>
        <v>0.18389621087314661</v>
      </c>
      <c r="E19" s="811">
        <f>IF(ISNUMBER((NºAsuntos!C19+NºAsuntos!E19)/NºAsuntos!G19),(NºAsuntos!C19+NºAsuntos!E19)/NºAsuntos!G19," - ")</f>
        <v>2.4408978583196048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5YqgwJiQHqdtTZ5lpjylXdkkJduDWfQQBGtATgjCC4X3bB8J/LoXPNMRe+xv0jCS1To7d0ZGwkEvPZ7lN7baA==" saltValue="RR5NwhEHWpyIp+YLCQyl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DENIA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549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279</v>
      </c>
      <c r="Y9" s="334">
        <f>SUM(W9:X9)</f>
        <v>279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9142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494</v>
      </c>
      <c r="AJ9" s="229" t="str">
        <f>IF(ISNUMBER(Datos!BW9),Datos!BW9," - ")</f>
        <v xml:space="preserve"> - </v>
      </c>
      <c r="AK9" s="228" t="str">
        <f>IF(ISNUMBER(Datos!BX9),Datos!BX9," - ")</f>
        <v xml:space="preserve"> - </v>
      </c>
      <c r="AL9" s="243">
        <f>IF(ISNUMBER(NºAsuntos!G9/NºAsuntos!E9),NºAsuntos!G9/NºAsuntos!E9," - ")</f>
        <v>0.85928449744463375</v>
      </c>
      <c r="AM9" s="260">
        <f>IF(ISNUMBER(((NºAsuntos!I9/NºAsuntos!G9)*11)/factor_trimestre),((NºAsuntos!I9/NºAsuntos!G9)*11)/factor_trimestre," - ")</f>
        <v>5.1578112609040447</v>
      </c>
      <c r="AN9" s="244">
        <f>IF(ISNUMBER('Resol  Asuntos'!D9/NºAsuntos!G9),'Resol  Asuntos'!D9/NºAsuntos!G9," - ")</f>
        <v>0.19587628865979381</v>
      </c>
      <c r="AO9" s="245">
        <f>IF(ISNUMBER((NºAsuntos!C9+NºAsuntos!E9)/NºAsuntos!G9),(NºAsuntos!C9+NºAsuntos!E9)/NºAsuntos!G9," - ")</f>
        <v>2.7192704203013482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56</v>
      </c>
      <c r="G10" s="333">
        <f>IF(ISNUMBER(Datos!I10),Datos!I10," - ")</f>
        <v>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3</v>
      </c>
      <c r="Y10" s="334">
        <f t="shared" ref="Y10:Y12" si="0">SUM(W10:X10)</f>
        <v>41</v>
      </c>
      <c r="Z10" s="335" t="str">
        <f>IF(ISNUMBER(Datos!CC10),Datos!CC10," - ")</f>
        <v xml:space="preserve"> - </v>
      </c>
      <c r="AA10" s="332">
        <f>IF(ISNUMBER(Datos!L10),Datos!L10,"-")</f>
        <v>61</v>
      </c>
      <c r="AB10" s="334">
        <f>IF(ISNUMBER(Datos!R10),Datos!R10," - ")</f>
        <v>49</v>
      </c>
      <c r="AC10" s="334">
        <f t="shared" ref="AC10:AC12" si="1">IF(ISNUMBER(AA10+AB10),AA10+AB10," - ")</f>
        <v>110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0.88372093023255816</v>
      </c>
      <c r="AM10" s="260">
        <f>IF(ISNUMBER(((NºAsuntos!I10/NºAsuntos!G10)*11)/factor_trimestre),((NºAsuntos!I10/NºAsuntos!G10)*11)/factor_trimestre," - ")</f>
        <v>4.8157894736842106</v>
      </c>
      <c r="AN10" s="244">
        <f>IF(ISNUMBER('Resol  Asuntos'!D10/NºAsuntos!G10),'Resol  Asuntos'!D10/NºAsuntos!G10," - ")</f>
        <v>7.8947368421052627E-2</v>
      </c>
      <c r="AO10" s="245">
        <f>IF(ISNUMBER((NºAsuntos!C10+NºAsuntos!E10)/NºAsuntos!G10),(NºAsuntos!C10+NºAsuntos!E10)/NºAsuntos!G10," - ")</f>
        <v>2.6052631578947367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56</v>
      </c>
      <c r="G13" s="866">
        <f t="shared" si="3"/>
        <v>56</v>
      </c>
      <c r="H13" s="865">
        <f t="shared" si="3"/>
        <v>0</v>
      </c>
      <c r="I13" s="867">
        <f t="shared" si="3"/>
        <v>0</v>
      </c>
      <c r="J13" s="867">
        <f t="shared" si="3"/>
        <v>0</v>
      </c>
      <c r="K13" s="867">
        <f t="shared" si="3"/>
        <v>0</v>
      </c>
      <c r="L13" s="867">
        <f t="shared" si="3"/>
        <v>554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282</v>
      </c>
      <c r="Y13" s="868">
        <f t="shared" si="4"/>
        <v>320</v>
      </c>
      <c r="Z13" s="868">
        <f t="shared" si="4"/>
        <v>0</v>
      </c>
      <c r="AA13" s="868">
        <f t="shared" si="4"/>
        <v>61</v>
      </c>
      <c r="AB13" s="868">
        <f t="shared" si="4"/>
        <v>9191</v>
      </c>
      <c r="AC13" s="868">
        <f t="shared" si="4"/>
        <v>110</v>
      </c>
      <c r="AD13" s="868">
        <f t="shared" si="4"/>
        <v>0</v>
      </c>
      <c r="AE13" s="872">
        <f t="shared" si="4"/>
        <v>0</v>
      </c>
      <c r="AF13" s="865">
        <f t="shared" si="4"/>
        <v>0</v>
      </c>
      <c r="AG13" s="873">
        <f t="shared" si="4"/>
        <v>0</v>
      </c>
      <c r="AH13" s="870">
        <f t="shared" si="4"/>
        <v>0</v>
      </c>
      <c r="AI13" s="865">
        <f t="shared" si="4"/>
        <v>497</v>
      </c>
      <c r="AJ13" s="867">
        <f t="shared" si="4"/>
        <v>0</v>
      </c>
      <c r="AK13" s="870">
        <f>SUBTOTAL(9,AK9:AK12)</f>
        <v>0</v>
      </c>
      <c r="AL13" s="874">
        <f>IF(ISNUMBER(NºAsuntos!G13/NºAsuntos!E13),NºAsuntos!G13/NºAsuntos!E13," - ")</f>
        <v>0.85963734049697782</v>
      </c>
      <c r="AM13" s="874">
        <f>IF(ISNUMBER(((NºAsuntos!I13/NºAsuntos!G13)*11)/factor_trimestre),((NºAsuntos!I13/NºAsuntos!G13)*11)/factor_trimestre," - ")</f>
        <v>5.1527343749999996</v>
      </c>
      <c r="AN13" s="875">
        <f>IF(ISNUMBER('Resol  Asuntos'!D13/NºAsuntos!G13),'Resol  Asuntos'!D13/NºAsuntos!G13," - ")</f>
        <v>0.19414062500000001</v>
      </c>
      <c r="AO13" s="876">
        <f>IF(ISNUMBER((NºAsuntos!C13+NºAsuntos!E13)/NºAsuntos!G13),(NºAsuntos!C13+NºAsuntos!E13)/NºAsuntos!G13," - ")</f>
        <v>2.7175781250000002</v>
      </c>
      <c r="AP13" s="877" t="str">
        <f t="shared" si="2"/>
        <v xml:space="preserve"> - </v>
      </c>
      <c r="AQ13" s="877">
        <f>IF(ISNUMBER((H13-W13+K13)/(F13)),(H13-W13+K13)/(F13)," - ")</f>
        <v>-0.6785714285714286</v>
      </c>
      <c r="AR13" s="878">
        <f>IF(ISNUMBER((Datos!P13-Datos!Q13)/(Datos!R13-Datos!P13+Datos!Q13)),(Datos!P13-Datos!Q13)/(Datos!R13-Datos!P13+Datos!Q13)," - ")</f>
        <v>3.0496692454311022E-2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2190</v>
      </c>
      <c r="G15" s="333">
        <f>IF(ISNUMBER(IF(D_I="SI",Datos!I15,Datos!I15+Datos!AC15)),IF(D_I="SI",Datos!I15,Datos!I15+Datos!AC15)," - ")</f>
        <v>2190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2022</v>
      </c>
      <c r="X15" s="226">
        <f>IF(ISNUMBER(Datos!Q15),Datos!Q15," - ")</f>
        <v>80</v>
      </c>
      <c r="Y15" s="334">
        <f>SUM(W15)</f>
        <v>2022</v>
      </c>
      <c r="Z15" s="335" t="str">
        <f>IF(ISNUMBER(Datos!CC15),Datos!CC15," - ")</f>
        <v xml:space="preserve"> - </v>
      </c>
      <c r="AA15" s="332">
        <f>IF(ISNUMBER(IF(D_I="SI",Datos!L15,Datos!L15+Datos!AF15)),IF(D_I="SI",Datos!L15,Datos!L15+Datos!AF15)," - ")</f>
        <v>2462</v>
      </c>
      <c r="AB15" s="334">
        <f>IF(ISNUMBER(Datos!R15),Datos!R15," - ")</f>
        <v>245</v>
      </c>
      <c r="AC15" s="334">
        <f t="shared" ref="AC15:AC17" si="6">IF(ISNUMBER(AA15+AB15),AA15+AB15," - ")</f>
        <v>2707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338</v>
      </c>
      <c r="AJ15" s="231" t="str">
        <f>IF(ISNUMBER(Datos!BW15),Datos!BW15," - ")</f>
        <v xml:space="preserve"> - </v>
      </c>
      <c r="AK15" s="232" t="str">
        <f>IF(ISNUMBER(Datos!BX15),Datos!BX15," - ")</f>
        <v xml:space="preserve"> - </v>
      </c>
      <c r="AL15" s="243">
        <f>IF(ISNUMBER(NºAsuntos!G15/NºAsuntos!E15),NºAsuntos!G15/NºAsuntos!E15," - ")</f>
        <v>0.88142981691368794</v>
      </c>
      <c r="AM15" s="260">
        <f>IF(ISNUMBER(((NºAsuntos!I15/NºAsuntos!G15)*11)/factor_trimestre),((NºAsuntos!I15/NºAsuntos!G15)*11)/factor_trimestre," - ")</f>
        <v>3.6528189910979232</v>
      </c>
      <c r="AN15" s="244">
        <f>IF(ISNUMBER('Resol  Asuntos'!D15/NºAsuntos!G15),'Resol  Asuntos'!D15/NºAsuntos!G15," - ")</f>
        <v>0.16716122650840751</v>
      </c>
      <c r="AO15" s="245">
        <f>IF(ISNUMBER((NºAsuntos!C15+NºAsuntos!E15)/NºAsuntos!G15),(NºAsuntos!C15+NºAsuntos!E15)/NºAsuntos!G15," - ")</f>
        <v>2.2176063303659741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14</v>
      </c>
      <c r="G16" s="333">
        <f>IF(ISNUMBER(IF(D_I="SI",Datos!I16,Datos!I16+Datos!AC16)),IF(D_I="SI",Datos!I16,Datos!I16+Datos!AC16)," - ")</f>
        <v>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14</v>
      </c>
      <c r="AB16" s="334">
        <f>IF(ISNUMBER(Datos!R16),Datos!R16," - ")</f>
        <v>6</v>
      </c>
      <c r="AC16" s="334">
        <f t="shared" si="6"/>
        <v>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274</v>
      </c>
      <c r="X17" s="226">
        <f>IF(ISNUMBER(Datos!Q17),Datos!Q17," - ")</f>
        <v>16</v>
      </c>
      <c r="Y17" s="334">
        <f t="shared" si="7"/>
        <v>290</v>
      </c>
      <c r="Z17" s="335" t="str">
        <f>IF(ISNUMBER(Datos!CC17),Datos!CC17," - ")</f>
        <v xml:space="preserve"> - </v>
      </c>
      <c r="AA17" s="332">
        <f>IF(ISNUMBER(Datos!L17),Datos!L17,"-")</f>
        <v>124</v>
      </c>
      <c r="AB17" s="334">
        <f>IF(ISNUMBER(Datos!R17),Datos!R17," - ")</f>
        <v>12</v>
      </c>
      <c r="AC17" s="334">
        <f t="shared" si="6"/>
        <v>136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58</v>
      </c>
      <c r="AJ17" s="231" t="str">
        <f>IF(ISNUMBER(Datos!BW17),Datos!BW17," - ")</f>
        <v xml:space="preserve"> - </v>
      </c>
      <c r="AK17" s="232" t="str">
        <f>IF(ISNUMBER(Datos!BX17),Datos!BX17," - ")</f>
        <v xml:space="preserve"> - </v>
      </c>
      <c r="AL17" s="243">
        <f>IF(ISNUMBER(NºAsuntos!G17/NºAsuntos!E17),NºAsuntos!G17/NºAsuntos!E17," - ")</f>
        <v>0.97508896797153022</v>
      </c>
      <c r="AM17" s="260">
        <f>IF(ISNUMBER(((NºAsuntos!I17/NºAsuntos!G17)*11)/factor_trimestre),((NºAsuntos!I17/NºAsuntos!G17)*11)/factor_trimestre," - ")</f>
        <v>1.3576642335766425</v>
      </c>
      <c r="AN17" s="244">
        <f>IF(ISNUMBER('Resol  Asuntos'!D17/NºAsuntos!G17),'Resol  Asuntos'!D17/NºAsuntos!G17," - ")</f>
        <v>0.21167883211678831</v>
      </c>
      <c r="AO17" s="245">
        <f>IF(ISNUMBER((NºAsuntos!C17+NºAsuntos!E17)/NºAsuntos!G17),(NºAsuntos!C17+NºAsuntos!E17)/NºAsuntos!G17," - ")</f>
        <v>1.4525547445255473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2204</v>
      </c>
      <c r="G18" s="866">
        <f>SUBTOTAL(9,G15:G17)</f>
        <v>2321</v>
      </c>
      <c r="H18" s="865">
        <f t="shared" ref="H18:O18" si="10">SUBTOTAL(9,H14:H17)</f>
        <v>0</v>
      </c>
      <c r="I18" s="867">
        <f t="shared" si="10"/>
        <v>0</v>
      </c>
      <c r="J18" s="867">
        <f t="shared" si="10"/>
        <v>0</v>
      </c>
      <c r="K18" s="867">
        <f t="shared" si="10"/>
        <v>0</v>
      </c>
      <c r="L18" s="867">
        <f t="shared" si="10"/>
        <v>56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2296</v>
      </c>
      <c r="X18" s="867">
        <f t="shared" si="11"/>
        <v>96</v>
      </c>
      <c r="Y18" s="868">
        <f t="shared" si="11"/>
        <v>2312</v>
      </c>
      <c r="Z18" s="868">
        <f t="shared" si="11"/>
        <v>0</v>
      </c>
      <c r="AA18" s="868">
        <f t="shared" si="11"/>
        <v>2600</v>
      </c>
      <c r="AB18" s="868">
        <f t="shared" si="11"/>
        <v>263</v>
      </c>
      <c r="AC18" s="868">
        <f t="shared" si="11"/>
        <v>2863</v>
      </c>
      <c r="AD18" s="868">
        <f t="shared" si="11"/>
        <v>0</v>
      </c>
      <c r="AE18" s="872">
        <f t="shared" si="11"/>
        <v>0</v>
      </c>
      <c r="AF18" s="865">
        <f t="shared" si="11"/>
        <v>0</v>
      </c>
      <c r="AG18" s="873">
        <f t="shared" si="11"/>
        <v>0</v>
      </c>
      <c r="AH18" s="870">
        <f t="shared" si="11"/>
        <v>0</v>
      </c>
      <c r="AI18" s="865">
        <f t="shared" si="11"/>
        <v>396</v>
      </c>
      <c r="AJ18" s="867">
        <f t="shared" si="11"/>
        <v>0</v>
      </c>
      <c r="AK18" s="870">
        <f t="shared" si="11"/>
        <v>0</v>
      </c>
      <c r="AL18" s="874">
        <f>IF(ISNUMBER(NºAsuntos!G18/NºAsuntos!E18),NºAsuntos!G18/NºAsuntos!E18," - ")</f>
        <v>0.89165048543689318</v>
      </c>
      <c r="AM18" s="874">
        <f>IF(ISNUMBER(((NºAsuntos!I18/NºAsuntos!G18)*11)/factor_trimestre),((NºAsuntos!I18/NºAsuntos!G18)*11)/factor_trimestre," - ")</f>
        <v>3.3972125435540073</v>
      </c>
      <c r="AN18" s="875">
        <f>IF(ISNUMBER('Resol  Asuntos'!D18/NºAsuntos!G18),'Resol  Asuntos'!D18/NºAsuntos!G18," - ")</f>
        <v>0.17247386759581881</v>
      </c>
      <c r="AO18" s="876">
        <f>IF(ISNUMBER((NºAsuntos!C18+NºAsuntos!E18)/NºAsuntos!G18),(NºAsuntos!C18+NºAsuntos!E18)/NºAsuntos!G18," - ")</f>
        <v>2.1324041811846688</v>
      </c>
      <c r="AP18" s="877" t="str">
        <f t="shared" si="2"/>
        <v xml:space="preserve"> - </v>
      </c>
      <c r="AQ18" s="877">
        <f>IF(ISNUMBER((H18-W18+K18)/(F18)),(H18-W18+K18)/(F18)," - ")</f>
        <v>-1.0417422867513613</v>
      </c>
      <c r="AR18" s="878">
        <f>IF(ISNUMBER((Datos!P18-Datos!Q18)/(Datos!R18-Datos!P18+Datos!Q18)),(Datos!P18-Datos!Q18)/(Datos!R18-Datos!P18+Datos!Q18)," - ")</f>
        <v>-0.132013201320132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2260</v>
      </c>
      <c r="G19" s="821">
        <f t="shared" si="13"/>
        <v>2377</v>
      </c>
      <c r="H19" s="820">
        <f t="shared" si="13"/>
        <v>0</v>
      </c>
      <c r="I19" s="822">
        <f t="shared" si="13"/>
        <v>0</v>
      </c>
      <c r="J19" s="822">
        <f t="shared" si="13"/>
        <v>0</v>
      </c>
      <c r="K19" s="881">
        <f t="shared" si="13"/>
        <v>0</v>
      </c>
      <c r="L19" s="822">
        <f t="shared" si="13"/>
        <v>610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2334</v>
      </c>
      <c r="X19" s="821">
        <f t="shared" si="14"/>
        <v>378</v>
      </c>
      <c r="Y19" s="828">
        <f t="shared" si="14"/>
        <v>2632</v>
      </c>
      <c r="Z19" s="828">
        <f t="shared" si="14"/>
        <v>0</v>
      </c>
      <c r="AA19" s="828">
        <f t="shared" si="14"/>
        <v>2661</v>
      </c>
      <c r="AB19" s="828">
        <f t="shared" si="14"/>
        <v>9454</v>
      </c>
      <c r="AC19" s="828">
        <f t="shared" si="14"/>
        <v>2973</v>
      </c>
      <c r="AD19" s="828">
        <f t="shared" si="14"/>
        <v>0</v>
      </c>
      <c r="AE19" s="830">
        <f t="shared" si="14"/>
        <v>0</v>
      </c>
      <c r="AF19" s="831">
        <f t="shared" si="14"/>
        <v>0</v>
      </c>
      <c r="AG19" s="832">
        <f t="shared" si="14"/>
        <v>0</v>
      </c>
      <c r="AH19" s="830">
        <f t="shared" si="14"/>
        <v>0</v>
      </c>
      <c r="AI19" s="820">
        <f t="shared" si="14"/>
        <v>893</v>
      </c>
      <c r="AJ19" s="820">
        <f t="shared" si="14"/>
        <v>0</v>
      </c>
      <c r="AK19" s="830">
        <f t="shared" si="14"/>
        <v>0</v>
      </c>
      <c r="AL19" s="884">
        <f>IF(ISNUMBER(NºAsuntos!G19/NºAsuntos!E19),NºAsuntos!G19/NºAsuntos!E19," - ")</f>
        <v>0.87448226184044664</v>
      </c>
      <c r="AM19" s="885">
        <f>IF(ISNUMBER(((NºAsuntos!I19/NºAsuntos!G19)*11)/factor_trimestre),((NºAsuntos!I19/NºAsuntos!G19)*11)/factor_trimestre," - ")</f>
        <v>4.322693574958814</v>
      </c>
      <c r="AN19" s="885">
        <f>IF(ISNUMBER('Resol  Asuntos'!D19/NºAsuntos!G19),'Resol  Asuntos'!D19/NºAsuntos!G19," - ")</f>
        <v>0.18389621087314661</v>
      </c>
      <c r="AO19" s="886">
        <f>IF(ISNUMBER((NºAsuntos!C19+NºAsuntos!E19)/NºAsuntos!G19),(NºAsuntos!C19+NºAsuntos!E19)/NºAsuntos!G19," - ")</f>
        <v>2.4408978583196048</v>
      </c>
      <c r="AP19" s="887" t="str">
        <f t="shared" si="2"/>
        <v xml:space="preserve"> - </v>
      </c>
      <c r="AQ19" s="888">
        <f>IF(OR(ISNUMBER(FIND("01",Criterios!A8,1)),ISNUMBER(FIND("02",Criterios!A8,1)),ISNUMBER(FIND("03",Criterios!A8,1)),ISNUMBER(FIND("04",Criterios!A8,1))),(I19-W19+K19)/(F19-K19),(H19-W19+K19)/(F19-K19))</f>
        <v>-1.0327433628318583</v>
      </c>
      <c r="AR19" s="889">
        <f>IF(ISNUMBER((Datos!P19-Datos!Q19)/(Datos!R19-Datos!P19+Datos!Q19)),(Datos!P19-Datos!Q19)/(Datos!R19-Datos!P19+Datos!Q19)," - ")</f>
        <v>2.5157232704402517E-2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792.33333333333337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1180.4770222244904</v>
      </c>
      <c r="G21" s="253">
        <f>IF(ISNUMBER(STDEV(G8:G18)),STDEV(G8:G18),"-")</f>
        <v>1134.5964333923612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1077.6233108094868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227.22707333665781</v>
      </c>
      <c r="AJ21" s="252">
        <f t="shared" si="18"/>
        <v>0</v>
      </c>
      <c r="AK21" s="254">
        <f t="shared" si="18"/>
        <v>0</v>
      </c>
      <c r="AL21" s="249">
        <f t="shared" si="18"/>
        <v>4.2898907106123652E-2</v>
      </c>
      <c r="AM21" s="250">
        <f t="shared" si="18"/>
        <v>1.4672745975581025</v>
      </c>
      <c r="AN21" s="250">
        <f t="shared" si="18"/>
        <v>4.7527307119398704E-2</v>
      </c>
      <c r="AO21" s="251">
        <f t="shared" si="18"/>
        <v>0.48909153251936754</v>
      </c>
      <c r="AP21" s="291" t="str">
        <f t="shared" si="18"/>
        <v>-</v>
      </c>
      <c r="AQ21" s="292">
        <f t="shared" si="18"/>
        <v>0.25680057654836846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Trzl04Hy1fIeTsTMtIMS7jVhjqzgd0VxGnVl0kNk/CPu8gE9FzZYj2G7BBhGNfb1OGSjU4PrBKAZRHp+Vhy5Q==" saltValue="dvzbW9nwF/VyyJmAosry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DENIA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6.236559139784946E-2</v>
      </c>
      <c r="I9" s="350">
        <f>IF(ISNUMBER((Tasas!C9-Datos!BE9)/Datos!BE9),(Tasas!C9-Datos!BE9)/Datos!BE9," - ")</f>
        <v>0.31848685212514</v>
      </c>
      <c r="J9" s="349">
        <f>IF(ISNUMBER((Tasas!D9-Datos!BF9)/Datos!BF9),(Tasas!D9-Datos!BF9)/Datos!BF9," - ")</f>
        <v>-0.50797235950533348</v>
      </c>
      <c r="K9" s="351">
        <f>IF(ISNUMBER((Tasas!E9-Datos!BG9)/Datos!BG9),(Tasas!E9-Datos!BG9)/Datos!BG9," - ")</f>
        <v>0.18047428180279709</v>
      </c>
      <c r="M9" t="e">
        <f>IF(Monitorios="SI",Datos!CE9,0)</f>
        <v>#REF!</v>
      </c>
      <c r="N9" t="e">
        <f>IF(Monitorios="SI",Datos!CF9,0)</f>
        <v>#REF!</v>
      </c>
      <c r="O9" t="e">
        <f>IF(Monitorios="SI",Datos!CG9,0)</f>
        <v>#REF!</v>
      </c>
      <c r="P9" t="e">
        <f>IF(Monitorios="SI",Datos!CH9,0)</f>
        <v>#REF!</v>
      </c>
      <c r="Q9">
        <f>IF(J_V="SI",0,Datos!AG9)</f>
        <v>118</v>
      </c>
      <c r="R9">
        <f>IF(J_V="SI",0,Datos!AH9)</f>
        <v>189</v>
      </c>
      <c r="S9">
        <f>IF(J_V="SI",0,Datos!AI9)</f>
        <v>215</v>
      </c>
      <c r="T9">
        <f>IF(J_V="SI",0,Datos!AJ9)</f>
        <v>93</v>
      </c>
    </row>
    <row r="10" spans="2:20" ht="14.25">
      <c r="B10" s="275" t="s">
        <v>246</v>
      </c>
      <c r="C10" s="7" t="str">
        <f>Datos!A10</f>
        <v>Jdos. Violencia contra la mujer</v>
      </c>
      <c r="D10" s="352">
        <f>IF(ISNUMBER((Datos!I10-Datos!S10)/Datos!S10),(Datos!I10-Datos!S10)/Datos!S10," - ")</f>
        <v>-0.16417910447761194</v>
      </c>
      <c r="E10" s="348">
        <f>IF(ISNUMBER((Datos!J10-Datos!T10)/Datos!T10),(Datos!J10-Datos!T10)/Datos!T10," - ")</f>
        <v>-4.4444444444444446E-2</v>
      </c>
      <c r="F10" s="348">
        <f>IF(ISNUMBER((Datos!K10-Datos!U10)/Datos!U10),(Datos!K10-Datos!U10)/Datos!U10," - ")</f>
        <v>0</v>
      </c>
      <c r="G10" s="349">
        <f>IF(ISNUMBER((Datos!L10-Datos!V10)/Datos!V10),(Datos!L10-Datos!V10)/Datos!V10," - ")</f>
        <v>-0.17567567567567569</v>
      </c>
      <c r="H10" s="230">
        <f>IF(ISNUMBER((Datos!M10-Datos!W10)/Datos!W10),(Datos!M10-Datos!W10)/Datos!W10," - ")</f>
        <v>-0.84210526315789469</v>
      </c>
      <c r="I10" s="350">
        <f>IF(ISNUMBER((Tasas!C10-Datos!BE10)/Datos!BE10),(Tasas!C10-Datos!BE10)/Datos!BE10," - ")</f>
        <v>-0.17567567567567566</v>
      </c>
      <c r="J10" s="349">
        <f>IF(ISNUMBER((Tasas!D10-Datos!BF10)/Datos!BF10),(Tasas!D10-Datos!BF10)/Datos!BF10," - ")</f>
        <v>-0.84210526315789469</v>
      </c>
      <c r="K10" s="351">
        <f>IF(ISNUMBER((Tasas!E10-Datos!BG10)/Datos!BG10),(Tasas!E10-Datos!BG10)/Datos!BG10," - ")</f>
        <v>-0.11607142857142856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2.6859504132231406E-2</v>
      </c>
      <c r="I13" s="357">
        <f>IF(ISNUMBER((Tasas!C13-Datos!BE13)/Datos!BE13),(Tasas!C13-Datos!BE13)/Datos!BE13," - ")</f>
        <v>0.30678051268584361</v>
      </c>
      <c r="J13" s="355">
        <f>IF(ISNUMBER((Tasas!D13-Datos!BF13)/Datos!BF13),(Tasas!D13-Datos!BF13)/Datos!BF13," - ")</f>
        <v>-0.51433896785334754</v>
      </c>
      <c r="K13" s="358">
        <f>IF(ISNUMBER((Tasas!E13-Datos!BG13)/Datos!BG13),(Tasas!E13-Datos!BG13)/Datos!BG13," - ")</f>
        <v>0.17444077588580889</v>
      </c>
      <c r="M13" t="e">
        <f>IF(Monitorios="SI",Datos!CE13,0)</f>
        <v>#REF!</v>
      </c>
      <c r="N13" t="e">
        <f>IF(Monitorios="SI",Datos!CF13,0)</f>
        <v>#REF!</v>
      </c>
      <c r="O13" t="e">
        <f>IF(Monitorios="SI",Datos!CG13,0)</f>
        <v>#REF!</v>
      </c>
      <c r="P13" t="e">
        <f>IF(Monitorios="SI",Datos!CH13,0)</f>
        <v>#REF!</v>
      </c>
      <c r="Q13">
        <f>IF(J_V="SI",0,Datos!AG13)</f>
        <v>118</v>
      </c>
      <c r="R13">
        <f>IF(J_V="SI",0,Datos!AH13)</f>
        <v>189</v>
      </c>
      <c r="S13">
        <f>IF(J_V="SI",0,Datos!AI13)</f>
        <v>215</v>
      </c>
      <c r="T13">
        <f>IF(J_V="SI",0,Datos!AJ13)</f>
        <v>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4.0380047505938245E-2</v>
      </c>
      <c r="E15" s="348">
        <f>IF(ISNUMBER(
   IF(D_I="SI",(Datos!J15-Datos!T15)/Datos!T15,(Datos!J15+Datos!AD15-(Datos!T15+Datos!AL15))/(Datos!T15+Datos!AL15))
     ),IF(D_I="SI",(Datos!J15-Datos!T15)/Datos!T15,(Datos!J15+Datos!AD15-(Datos!T15+Datos!AL15))/(Datos!T15+Datos!AL15))," - ")</f>
        <v>7.1962616822429909E-2</v>
      </c>
      <c r="F15" s="348">
        <f>IF(ISNUMBER(
   IF(D_I="SI",(Datos!K15-Datos!U15)/Datos!U15,(Datos!K15+Datos!AE15-(Datos!U15+Datos!AM15))/(Datos!U15+Datos!AM15))
     ),IF(D_I="SI",(Datos!K15-Datos!U15)/Datos!U15,(Datos!K15+Datos!AE15-(Datos!U15+Datos!AM15))/(Datos!U15+Datos!AM15))," - ")</f>
        <v>7.1542130365659776E-2</v>
      </c>
      <c r="G15" s="349">
        <f>IF(ISNUMBER(
   IF(D_I="SI",(Datos!L15-Datos!V15)/Datos!V15,(Datos!L15+Datos!AF15-(Datos!V15+Datos!AN15))/(Datos!V15+Datos!AN15))
     ),IF(D_I="SI",(Datos!L15-Datos!V15)/Datos!V15,(Datos!L15+Datos!AF15-(Datos!V15+Datos!AN15))/(Datos!V15+Datos!AN15))," - ")</f>
        <v>3.6195286195286197E-2</v>
      </c>
      <c r="H15" s="230">
        <f>IF(ISNUMBER((Datos!M15-Datos!W15)/Datos!W15),(Datos!M15-Datos!W15)/Datos!W15," - ")</f>
        <v>0.13043478260869565</v>
      </c>
      <c r="I15" s="350">
        <f>IF(ISNUMBER((Tasas!C15-Datos!BE15)/Datos!BE15),(Tasas!C15-Datos!BE15)/Datos!BE15," - ")</f>
        <v>-3.298689166641685E-2</v>
      </c>
      <c r="J15" s="349">
        <f>IF(ISNUMBER((Tasas!D15-Datos!BF15)/Datos!BF15),(Tasas!D15-Datos!BF15)/Datos!BF15," - ")</f>
        <v>5.4960650238678806E-2</v>
      </c>
      <c r="K15" s="351">
        <f>IF(ISNUMBER((Tasas!E15-Datos!BG15)/Datos!BG15),(Tasas!E15-Datos!BG15)/Datos!BG15," - ")</f>
        <v>-1.4223051731309125E-2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-0.125</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-0.24025974025974026</v>
      </c>
      <c r="E17" s="348">
        <f>IF(ISNUMBER(
   IF(D_I="SI",(Datos!J17-Datos!T17)/Datos!T17,(Datos!J17+Datos!AD17-(Datos!T17+Datos!AL17))/(Datos!T17+Datos!AL17))
     ),IF(D_I="SI",(Datos!J17-Datos!T17)/Datos!T17,(Datos!J17+Datos!AD17-(Datos!T17+Datos!AL17))/(Datos!T17+Datos!AL17))," - ")</f>
        <v>-0.10793650793650794</v>
      </c>
      <c r="F17" s="348">
        <f>IF(ISNUMBER(
   IF(D_I="SI",(Datos!K17-Datos!U17)/Datos!U17,(Datos!K17+Datos!AE17-(Datos!U17+Datos!AM17))/(Datos!U17+Datos!AM17))
     ),IF(D_I="SI",(Datos!K17-Datos!U17)/Datos!U17,(Datos!K17+Datos!AE17-(Datos!U17+Datos!AM17))/(Datos!U17+Datos!AM17))," - ")</f>
        <v>-0.10749185667752444</v>
      </c>
      <c r="G17" s="349">
        <f>IF(ISNUMBER(
   IF(D_I="SI",(Datos!L17-Datos!V17)/Datos!V17,(Datos!L17+Datos!AF17-(Datos!V17+Datos!AN17))/(Datos!V17+Datos!AN17))
     ),IF(D_I="SI",(Datos!L17-Datos!V17)/Datos!V17,(Datos!L17+Datos!AF17-(Datos!V17+Datos!AN17))/(Datos!V17+Datos!AN17))," - ")</f>
        <v>-0.24848484848484848</v>
      </c>
      <c r="H17" s="230">
        <f>IF(ISNUMBER((Datos!M17-Datos!W17)/Datos!W17),(Datos!M17-Datos!W17)/Datos!W17," - ")</f>
        <v>7.407407407407407E-2</v>
      </c>
      <c r="I17" s="350">
        <f>IF(ISNUMBER((Tasas!C17-Datos!BE17)/Datos!BE17),(Tasas!C17-Datos!BE17)/Datos!BE17," - ")</f>
        <v>-0.15797389957973901</v>
      </c>
      <c r="J17" s="349">
        <f>IF(ISNUMBER((Tasas!D17-Datos!BF17)/Datos!BF17),(Tasas!D17-Datos!BF17)/Datos!BF17," - ")</f>
        <v>0.20343336036766693</v>
      </c>
      <c r="K17" s="351">
        <f>IF(ISNUMBER((Tasas!E17-Datos!BG17)/Datos!BG17),(Tasas!E17-Datos!BG17)/Datos!BG17," - ")</f>
        <v>-4.9180583007797381E-2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2.0219780219780221E-2</v>
      </c>
      <c r="E18" s="354">
        <f>IF(ISNUMBER(
   IF(D_I="SI",(Datos!J18-Datos!T18)/Datos!T18,(Datos!J18+Datos!AD18-(Datos!T18+Datos!AL18))/(Datos!T18+Datos!AL18))
     ),IF(D_I="SI",(Datos!J18-Datos!T18)/Datos!T18,(Datos!J18+Datos!AD18-(Datos!T18+Datos!AL18))/(Datos!T18+Datos!AL18))," - ")</f>
        <v>4.8879837067209775E-2</v>
      </c>
      <c r="F18" s="354">
        <f>IF(ISNUMBER(
   IF(D_I="SI",(Datos!K18-Datos!U18)/Datos!U18,(Datos!K18+Datos!AE18-(Datos!U18+Datos!AM18))/(Datos!U18+Datos!AM18))
     ),IF(D_I="SI",(Datos!K18-Datos!U18)/Datos!U18,(Datos!K18+Datos!AE18-(Datos!U18+Datos!AM18))/(Datos!U18+Datos!AM18))," - ")</f>
        <v>4.6490428441203283E-2</v>
      </c>
      <c r="G18" s="355">
        <f>IF(ISNUMBER(
   IF(D_I="SI",(Datos!L18-Datos!V18)/Datos!V18,(Datos!L18+Datos!AF18-(Datos!V18+Datos!AN18))/(Datos!V18+Datos!AN18))
     ),IF(D_I="SI",(Datos!L18-Datos!V18)/Datos!V18,(Datos!L18+Datos!AF18-(Datos!V18+Datos!AN18))/(Datos!V18+Datos!AN18))," - ")</f>
        <v>1.7612524461839529E-2</v>
      </c>
      <c r="H18" s="356">
        <f>IF(ISNUMBER((Datos!M18-Datos!W18)/Datos!W18),(Datos!M18-Datos!W18)/Datos!W18," - ")</f>
        <v>0.12181303116147309</v>
      </c>
      <c r="I18" s="357">
        <f>IF(ISNUMBER((Tasas!C18-Datos!BE18)/Datos!BE18),(Tasas!C18-Datos!BE18)/Datos!BE18," - ")</f>
        <v>-2.7595000579583674E-2</v>
      </c>
      <c r="J18" s="355">
        <f>IF(ISNUMBER((Tasas!D18-Datos!BF18)/Datos!BF18),(Tasas!D18-Datos!BF18)/Datos!BF18," - ")</f>
        <v>7.197638953321947E-2</v>
      </c>
      <c r="K18" s="358">
        <f>IF(ISNUMBER((Tasas!E18-Datos!BG18)/Datos!BG18),(Tasas!E18-Datos!BG18)/Datos!BG18," - ")</f>
        <v>-1.0889054224278409E-2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0.27401415571284127</v>
      </c>
      <c r="E19" s="363">
        <f>IF(ISNUMBER(
   IF(J_V="SI",(Datos!J19-Datos!T19)/Datos!T19,(Datos!J19+Datos!Z19-(Datos!T19+Datos!AH19))/(Datos!T19+Datos!AH19))
     ),IF(J_V="SI",(Datos!J19-Datos!T19)/Datos!T19,(Datos!J19+Datos!Z19-(Datos!T19+Datos!AH19))/(Datos!T19+Datos!AH19))," - ")</f>
        <v>6.1353211009174312E-2</v>
      </c>
      <c r="F19" s="363">
        <f>IF(ISNUMBER(
   IF(J_V="SI",(Datos!K19-Datos!U19)/Datos!U19,(Datos!K19+Datos!AA19-(Datos!U19+Datos!AI19))/(Datos!U19+Datos!AI19))
     ),IF(J_V="SI",(Datos!K19-Datos!U19)/Datos!U19,(Datos!K19+Datos!AA19-(Datos!U19+Datos!AI19))/(Datos!U19+Datos!AI19))," - ")</f>
        <v>6.7722075637642917E-2</v>
      </c>
      <c r="G19" s="364">
        <f>IF(ISNUMBER(
   IF(J_V="SI",(Datos!L19-Datos!V19)/Datos!V19,(Datos!L19+Datos!AB19-(Datos!V19+Datos!AJ19))/(Datos!V19+Datos!AJ19))
     ),IF(J_V="SI",(Datos!L19-Datos!V19)/Datos!V19,(Datos!L19+Datos!AB19-(Datos!V19+Datos!AJ19))/(Datos!V19+Datos!AJ19))," - ")</f>
        <v>0.23862630554080369</v>
      </c>
      <c r="H19" s="365">
        <f>IF(ISNUMBER((Datos!M19-Datos!W19)/Datos!W19),(Datos!M19-Datos!W19)/Datos!W19," - ")</f>
        <v>6.6905615292712065E-2</v>
      </c>
      <c r="I19" s="362">
        <f>IF(ISNUMBER((Tasas!C19-Datos!BE19)/Datos!BE19),(Tasas!C19-Datos!BE19)/Datos!BE19," - ")</f>
        <v>0.16006434052709537</v>
      </c>
      <c r="J19" s="363">
        <f>IF(ISNUMBER((Tasas!D19-Datos!BF19)/Datos!BF19),(Tasas!D19-Datos!BF19)/Datos!BF19," - ")</f>
        <v>-0.35366308574105815</v>
      </c>
      <c r="K19" s="364">
        <f>IF(ISNUMBER((Tasas!E19-Datos!BG19)/Datos!BG19),(Tasas!E19-Datos!BG19)/Datos!BG19," - ")</f>
        <v>9.0812956631380809E-2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0.12081173795515433</v>
      </c>
      <c r="E21" s="278">
        <f t="shared" si="1"/>
        <v>8.355594105623762E-2</v>
      </c>
      <c r="F21" s="278">
        <f t="shared" si="1"/>
        <v>7.9175667570157551E-2</v>
      </c>
      <c r="G21" s="279">
        <f t="shared" si="1"/>
        <v>0.12922338819990636</v>
      </c>
      <c r="H21" s="285">
        <f t="shared" si="1"/>
        <v>0.37967498259442778</v>
      </c>
      <c r="I21" s="277">
        <f t="shared" si="1"/>
        <v>0.22105167209686397</v>
      </c>
      <c r="J21" s="278">
        <f t="shared" si="1"/>
        <v>0.42168516365785585</v>
      </c>
      <c r="K21" s="279">
        <f t="shared" si="1"/>
        <v>0.12222920137540409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uPXwC9zgnS1wfetYzTC43RGIFhP0G9Cc+8wOPsRmwUaE7TztCLd8WUXbxcMPeFg0ZdDbxcSjTrVtErSJCNIeA==" saltValue="zacWf3vj7o4T0VO53opa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18.91197462331483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56</v>
      </c>
      <c r="D10" s="225">
        <f>IF(ISNUMBER(Datos!I10),Datos!I10," - ")</f>
        <v>56</v>
      </c>
      <c r="E10" s="226">
        <f>IF(ISNUMBER(Datos!J10),Datos!J10," - ")</f>
        <v>43</v>
      </c>
      <c r="F10" s="226">
        <f>IF(ISNUMBER(Datos!K10),Datos!K10," - ")</f>
        <v>38</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8.9285714285714288E-2</v>
      </c>
      <c r="L10" s="1025">
        <f>IF(ISNUMBER(NºAsuntos!I10/NºAsuntos!G10),(NºAsuntos!I10/NºAsuntos!G10)*11," - ")</f>
        <v>17.657894736842106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56</v>
      </c>
      <c r="D13" s="1049">
        <f>SUBTOTAL(9,D9:D12)</f>
        <v>56</v>
      </c>
      <c r="E13" s="1050">
        <f>SUBTOTAL(9,E9:E12)</f>
        <v>43</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2190</v>
      </c>
      <c r="D15" s="225">
        <f>IF(ISNUMBER(IF(D_I="SI",Datos!I15,Datos!I15+Datos!AC15)),IF(D_I="SI",Datos!I15,Datos!I15+Datos!AC15)," - ")</f>
        <v>2190</v>
      </c>
      <c r="E15" s="226">
        <f>IF(ISNUMBER(IF(D_I="SI",Datos!J15,Datos!J15+Datos!AD15)),IF(D_I="SI",Datos!J15,Datos!J15+Datos!AD15)," - ")</f>
        <v>2294</v>
      </c>
      <c r="F15" s="226">
        <f>IF(ISNUMBER(IF(D_I="SI",Datos!K15,Datos!K15+Datos!AE15)),IF(D_I="SI",Datos!K15,Datos!K15+Datos!AE15)," - ")</f>
        <v>2022</v>
      </c>
      <c r="G15" s="1034" t="str">
        <f>IF(Datos!E15&lt;&gt;"",Datos!E15,Datos!D15)</f>
        <v>03</v>
      </c>
      <c r="H15" s="227">
        <f>IF(ISNUMBER(IF(D_I="SI",Datos!L15,Datos!L15+Datos!AF15)),IF(D_I="SI",Datos!L15,Datos!L15+Datos!AF15)," - ")</f>
        <v>2462</v>
      </c>
      <c r="I15" s="1044" t="str">
        <f>IF(ISNUMBER(Datos!AS15/Datos!BM15),Datos!AS15/Datos!BM15," - ")</f>
        <v xml:space="preserve"> - </v>
      </c>
      <c r="J15" s="1045">
        <f>IF(ISNUMBER(Datos!BY15/Datos!CN15),Datos!BY15/Datos!CN15," - ")</f>
        <v>0</v>
      </c>
      <c r="K15" s="230">
        <f t="shared" ref="K15:K17" si="3">IF(ISNUMBER((E15-F15)/C15),(E15-F15)/C15," - ")</f>
        <v>0.12420091324200913</v>
      </c>
      <c r="L15" s="1025">
        <f>IF(ISNUMBER(NºAsuntos!I15/NºAsuntos!G15),(NºAsuntos!I15/NºAsuntos!G15)*11," - ")</f>
        <v>13.393669634025718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14</v>
      </c>
      <c r="D16" s="225">
        <f>IF(ISNUMBER(IF(D_I="SI",Datos!I16,Datos!I16+Datos!AC16)),IF(D_I="SI",Datos!I16,Datos!I16+Datos!AC16)," - ")</f>
        <v>14</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14</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117</v>
      </c>
      <c r="D17" s="225">
        <f>IF(ISNUMBER(IF(D_I="SI",Datos!I17,Datos!I17+Datos!AC17)),IF(D_I="SI",Datos!I17,Datos!I17+Datos!AC17)," - ")</f>
        <v>117</v>
      </c>
      <c r="E17" s="226">
        <f>IF(ISNUMBER(IF(D_I="SI",Datos!J17,Datos!J17+Datos!AD17)),IF(D_I="SI",Datos!J17,Datos!J17+Datos!AD17)," - ")</f>
        <v>281</v>
      </c>
      <c r="F17" s="226">
        <f>IF(ISNUMBER(IF(D_I="SI",Datos!K17,Datos!K17+Datos!AE17)),IF(D_I="SI",Datos!K17,Datos!K17+Datos!AE17)," - ")</f>
        <v>274</v>
      </c>
      <c r="G17" s="1034" t="str">
        <f>IF(Datos!E17&lt;&gt;"",Datos!E17,Datos!D17)</f>
        <v>37</v>
      </c>
      <c r="H17" s="227">
        <f>IF(ISNUMBER(IF(D_I="SI",Datos!L17,Datos!L17+Datos!AF17)),IF(D_I="SI",Datos!L17,Datos!L17+Datos!AF17)," - ")</f>
        <v>124</v>
      </c>
      <c r="I17" s="1044" t="str">
        <f>IF(ISNUMBER(Datos!AS17/Datos!BM17),Datos!AS17/Datos!BM17," - ")</f>
        <v xml:space="preserve"> - </v>
      </c>
      <c r="J17" s="1045" t="str">
        <f>IF(ISNUMBER((Datos!BY17+Datos!BZ17)/Datos!CN17),(Datos!BY17+Datos!BZ17)/Datos!CN17," - ")</f>
        <v xml:space="preserve"> - </v>
      </c>
      <c r="K17" s="230">
        <f t="shared" si="3"/>
        <v>5.9829059829059832E-2</v>
      </c>
      <c r="L17" s="1025">
        <f>IF(ISNUMBER(NºAsuntos!I17/NºAsuntos!G17),(NºAsuntos!I17/NºAsuntos!G17)*11," - ")</f>
        <v>4.9781021897810218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2321</v>
      </c>
      <c r="D18" s="1049">
        <f>SUBTOTAL(9,D15:D17)</f>
        <v>2321</v>
      </c>
      <c r="E18" s="1050">
        <f>SUBTOTAL(9,E15:E17)</f>
        <v>2575</v>
      </c>
      <c r="F18" s="1050">
        <f>SUBTOTAL(9,F15:F17)</f>
        <v>2296</v>
      </c>
      <c r="G18" s="1052" t="str">
        <f ca="1">INDIRECT(CONCATENATE("G",ROW()-1))</f>
        <v>37</v>
      </c>
      <c r="H18" s="1053">
        <f ca="1">SUMIF(G$14:G17,G18,H$14:H17)</f>
        <v>124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2377</v>
      </c>
      <c r="D19" s="1071">
        <f>SUBTOTAL(9,D9:D18)</f>
        <v>2377</v>
      </c>
      <c r="E19" s="1072">
        <f>SUBTOTAL(9,E9:E18)</f>
        <v>2618</v>
      </c>
      <c r="F19" s="1072">
        <f>SUBTOTAL(9,F9:F18)</f>
        <v>2334</v>
      </c>
      <c r="G19" s="1073"/>
      <c r="H19" s="1074">
        <f ca="1">SUMIF(B9:B18,"TOTAL",H9:H18)</f>
        <v>124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TRNZRU29AnVgpYzu9BDGHom55mZusFoCq5wnQHjV0/rleQYpkeMQ99lK35+6dZFENv5TukJm37DvrAtDcBpzbQ==" saltValue="TbHMaih/fnB+HlxI7cmQ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CsgYgWIPCMU+uAvQliBliEj+yrD8uJlholFI/wzkBKEmvQumkbHxXqG09G5Cfy6rROADXlrpblgQZjS7nk/Uw==" saltValue="f70mde6Hkv3KL93bgUU/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3707</v>
      </c>
      <c r="J9" s="181">
        <v>2519</v>
      </c>
      <c r="K9" s="181">
        <v>2169</v>
      </c>
      <c r="L9" s="181">
        <v>4057</v>
      </c>
      <c r="M9" s="181">
        <v>494</v>
      </c>
      <c r="N9" s="181">
        <v>1056</v>
      </c>
      <c r="O9" s="181">
        <v>942</v>
      </c>
      <c r="P9" s="181">
        <v>549</v>
      </c>
      <c r="Q9" s="181">
        <v>279</v>
      </c>
      <c r="R9" s="181">
        <v>9142</v>
      </c>
      <c r="S9" s="181">
        <v>2485</v>
      </c>
      <c r="T9" s="181">
        <v>2543</v>
      </c>
      <c r="U9" s="181">
        <v>2101</v>
      </c>
      <c r="V9" s="181">
        <v>2927</v>
      </c>
      <c r="W9" s="181">
        <v>465</v>
      </c>
      <c r="X9" s="188">
        <v>922</v>
      </c>
      <c r="Y9" s="191">
        <v>216</v>
      </c>
      <c r="Z9" s="181">
        <v>416</v>
      </c>
      <c r="AA9" s="181">
        <v>353</v>
      </c>
      <c r="AB9" s="181">
        <v>279</v>
      </c>
      <c r="AC9" s="181">
        <v>0</v>
      </c>
      <c r="AD9" s="181">
        <v>0</v>
      </c>
      <c r="AE9" s="181">
        <v>0</v>
      </c>
      <c r="AF9" s="188">
        <v>0</v>
      </c>
      <c r="AG9" s="191">
        <v>118</v>
      </c>
      <c r="AH9" s="181">
        <v>189</v>
      </c>
      <c r="AI9" s="181">
        <v>215</v>
      </c>
      <c r="AJ9" s="192">
        <v>93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2603</v>
      </c>
      <c r="AZ9" s="123">
        <f>IF(ISNUMBER(IF(J_V="SI",T9,T9+AH9)),IF(J_V="SI",T9,T9+AH9)," - ")</f>
        <v>2732</v>
      </c>
      <c r="BA9" s="124">
        <f>IF(ISNUMBER(IF(J_V="SI",U9,U9+AI9)),IF(J_V="SI",U9,U9+AI9)," - ")</f>
        <v>2316</v>
      </c>
      <c r="BB9" s="124">
        <f>IF(ISNUMBER(IF(J_V="SI",V9,V9+AJ9)),IF(J_V="SI",V9,V9+AJ9)," - ")</f>
        <v>3020</v>
      </c>
      <c r="BC9" s="125">
        <f>IF(ISNUMBER(X9),X9," - ")</f>
        <v>922</v>
      </c>
      <c r="BD9" s="126">
        <f>IF(ISNUMBER(BA9/AZ9),BA9/AZ9," - ")</f>
        <v>0.84773060029282576</v>
      </c>
      <c r="BE9" s="127">
        <f>IF(ISNUMBER(BB9/BA9),BB9/BA9, " - ")</f>
        <v>1.3039723661485318</v>
      </c>
      <c r="BF9" s="127">
        <f>IF(ISNUMBER(BC9/BA9),BC9/BA9, " - ")</f>
        <v>0.39810017271157166</v>
      </c>
      <c r="BG9" s="196">
        <f>IF(ISNUMBER((AY9+AZ9)/BA9),(AY9+AZ9)/BA9," - ")</f>
        <v>2.3035405872193437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56</v>
      </c>
      <c r="J10" s="181">
        <v>43</v>
      </c>
      <c r="K10" s="181">
        <v>38</v>
      </c>
      <c r="L10" s="181">
        <v>61</v>
      </c>
      <c r="M10" s="181">
        <v>3</v>
      </c>
      <c r="N10" s="181">
        <v>22</v>
      </c>
      <c r="O10" s="181">
        <v>8</v>
      </c>
      <c r="P10" s="181">
        <v>5</v>
      </c>
      <c r="Q10" s="181">
        <v>3</v>
      </c>
      <c r="R10" s="181">
        <v>49</v>
      </c>
      <c r="S10" s="181">
        <v>67</v>
      </c>
      <c r="T10" s="181">
        <v>45</v>
      </c>
      <c r="U10" s="181">
        <v>38</v>
      </c>
      <c r="V10" s="181">
        <v>74</v>
      </c>
      <c r="W10" s="181">
        <v>19</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67</v>
      </c>
      <c r="AZ10" s="129">
        <f t="shared" si="0"/>
        <v>45</v>
      </c>
      <c r="BA10" s="129">
        <f t="shared" si="0"/>
        <v>38</v>
      </c>
      <c r="BB10" s="129">
        <f t="shared" si="0"/>
        <v>74</v>
      </c>
      <c r="BC10" s="125">
        <f t="shared" si="0"/>
        <v>19</v>
      </c>
      <c r="BD10" s="126">
        <f>IF(ISNUMBER(BA10/AZ10),BA10/AZ10," - ")</f>
        <v>0.84444444444444444</v>
      </c>
      <c r="BE10" s="127">
        <f>IF(ISNUMBER(BB10/BA10),BB10/BA10, " - ")</f>
        <v>1.9473684210526316</v>
      </c>
      <c r="BF10" s="127">
        <f>IF(ISNUMBER(BC10/BA10),BC10/BA10, " - ")</f>
        <v>0.5</v>
      </c>
      <c r="BG10" s="196">
        <f>IF(ISNUMBER((AY10+AZ10)/BA10),(AY10+AZ10)/BA10," - ")</f>
        <v>2.9473684210526314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3763</v>
      </c>
      <c r="J13" s="184">
        <f t="shared" si="6"/>
        <v>2562</v>
      </c>
      <c r="K13" s="184">
        <f t="shared" si="6"/>
        <v>2207</v>
      </c>
      <c r="L13" s="184">
        <f t="shared" si="6"/>
        <v>4118</v>
      </c>
      <c r="M13" s="184">
        <f t="shared" si="6"/>
        <v>497</v>
      </c>
      <c r="N13" s="184">
        <f t="shared" si="6"/>
        <v>1078</v>
      </c>
      <c r="O13" s="184">
        <f t="shared" si="6"/>
        <v>950</v>
      </c>
      <c r="P13" s="184">
        <f t="shared" si="6"/>
        <v>554</v>
      </c>
      <c r="Q13" s="184">
        <f t="shared" si="6"/>
        <v>282</v>
      </c>
      <c r="R13" s="184">
        <f t="shared" si="6"/>
        <v>9191</v>
      </c>
      <c r="S13" s="184">
        <f t="shared" si="6"/>
        <v>2552</v>
      </c>
      <c r="T13" s="184">
        <f t="shared" si="6"/>
        <v>2588</v>
      </c>
      <c r="U13" s="184">
        <f t="shared" si="6"/>
        <v>2139</v>
      </c>
      <c r="V13" s="184">
        <f t="shared" si="6"/>
        <v>3001</v>
      </c>
      <c r="W13" s="184">
        <f t="shared" si="6"/>
        <v>484</v>
      </c>
      <c r="X13" s="184">
        <f t="shared" si="6"/>
        <v>938</v>
      </c>
      <c r="Y13" s="184">
        <f t="shared" si="6"/>
        <v>216</v>
      </c>
      <c r="Z13" s="184">
        <f t="shared" si="6"/>
        <v>416</v>
      </c>
      <c r="AA13" s="184">
        <f t="shared" si="6"/>
        <v>353</v>
      </c>
      <c r="AB13" s="184">
        <f t="shared" si="6"/>
        <v>279</v>
      </c>
      <c r="AC13" s="184">
        <f t="shared" si="6"/>
        <v>0</v>
      </c>
      <c r="AD13" s="184">
        <f t="shared" si="6"/>
        <v>0</v>
      </c>
      <c r="AE13" s="184">
        <f t="shared" si="6"/>
        <v>0</v>
      </c>
      <c r="AF13" s="184">
        <f>SUBTOTAL(9,AF9:AF12)</f>
        <v>0</v>
      </c>
      <c r="AG13" s="184">
        <f t="shared" ref="AG13:AT13" si="7">SUBTOTAL(9,AG8:AG12)</f>
        <v>118</v>
      </c>
      <c r="AH13" s="184">
        <f t="shared" si="7"/>
        <v>189</v>
      </c>
      <c r="AI13" s="184">
        <f t="shared" si="7"/>
        <v>215</v>
      </c>
      <c r="AJ13" s="184">
        <f t="shared" si="7"/>
        <v>93</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2670</v>
      </c>
      <c r="AZ13" s="184">
        <f>SUBTOTAL(9,AZ8:AZ12)</f>
        <v>2777</v>
      </c>
      <c r="BA13" s="184">
        <f>SUBTOTAL(9,BA8:BA12)</f>
        <v>2354</v>
      </c>
      <c r="BB13" s="184">
        <f>SUBTOTAL(9,BB8:BB12)</f>
        <v>3094</v>
      </c>
      <c r="BC13" s="184">
        <f>SUBTOTAL(9,BC8:BC12)</f>
        <v>941</v>
      </c>
      <c r="BD13" s="205">
        <f>IF(ISNUMBER(BA13/AZ13),BA13/AZ13," - ")</f>
        <v>0.8476773496579042</v>
      </c>
      <c r="BE13" s="206">
        <f>IF(ISNUMBER(BB13/BA13),BB13/BA13, " - ")</f>
        <v>1.314358538657604</v>
      </c>
      <c r="BF13" s="206">
        <f>IF(ISNUMBER(BC13/BA13),BC13/BA13, " - ")</f>
        <v>0.39974511469838575</v>
      </c>
      <c r="BG13" s="207">
        <f>IF(ISNUMBER((AY13+AZ13)/BA13),(AY13+AZ13)/BA13," - ")</f>
        <v>2.3139337298215801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2190</v>
      </c>
      <c r="J15" s="183">
        <v>2294</v>
      </c>
      <c r="K15" s="183">
        <v>2022</v>
      </c>
      <c r="L15" s="183">
        <v>2462</v>
      </c>
      <c r="M15" s="183">
        <v>338</v>
      </c>
      <c r="N15" s="183">
        <v>1257</v>
      </c>
      <c r="O15" s="181">
        <v>17</v>
      </c>
      <c r="P15" s="183">
        <v>45</v>
      </c>
      <c r="Q15" s="183">
        <v>80</v>
      </c>
      <c r="R15" s="183">
        <v>245</v>
      </c>
      <c r="S15" s="183">
        <v>2105</v>
      </c>
      <c r="T15" s="183">
        <v>2140</v>
      </c>
      <c r="U15" s="183">
        <v>1887</v>
      </c>
      <c r="V15" s="183">
        <v>2376</v>
      </c>
      <c r="W15" s="183">
        <v>299</v>
      </c>
      <c r="X15" s="189">
        <v>1054</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2105</v>
      </c>
      <c r="AZ15" s="129">
        <f t="shared" si="9"/>
        <v>2140</v>
      </c>
      <c r="BA15" s="129">
        <f t="shared" si="9"/>
        <v>1887</v>
      </c>
      <c r="BB15" s="129">
        <f t="shared" si="9"/>
        <v>2376</v>
      </c>
      <c r="BC15" s="125">
        <f>IF(ISNUMBER(W15),W15," - ")</f>
        <v>299</v>
      </c>
      <c r="BD15" s="126">
        <f>IF(ISNUMBER(BA15/AZ15),BA15/AZ15," - ")</f>
        <v>0.88177570093457946</v>
      </c>
      <c r="BE15" s="127">
        <f>IF(ISNUMBER(BB15/BA15),BB15/BA15, " - ")</f>
        <v>1.2591414944356121</v>
      </c>
      <c r="BF15" s="127">
        <f>IF(ISNUMBER(BC15/BA15),BC15/BA15, " - ")</f>
        <v>0.1584525702172761</v>
      </c>
      <c r="BG15" s="196">
        <f t="shared" ref="BG15:BG16" si="10">IF(ISNUMBER((AY15+AZ15)/BA15),(AY15+AZ15)/BA15," - ")</f>
        <v>2.249602543720191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v>
      </c>
      <c r="J16" s="183">
        <v>0</v>
      </c>
      <c r="K16" s="183">
        <v>0</v>
      </c>
      <c r="L16" s="183">
        <v>14</v>
      </c>
      <c r="M16" s="183">
        <v>0</v>
      </c>
      <c r="N16" s="183">
        <v>0</v>
      </c>
      <c r="O16" s="181">
        <v>0</v>
      </c>
      <c r="P16" s="183">
        <v>0</v>
      </c>
      <c r="Q16" s="183">
        <v>0</v>
      </c>
      <c r="R16" s="183">
        <v>6</v>
      </c>
      <c r="S16" s="183">
        <v>16</v>
      </c>
      <c r="T16" s="183">
        <v>0</v>
      </c>
      <c r="U16" s="183">
        <v>0</v>
      </c>
      <c r="V16" s="183">
        <v>14</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16</v>
      </c>
      <c r="AZ16" s="127">
        <f t="shared" si="9"/>
        <v>0</v>
      </c>
      <c r="BA16" s="127">
        <f t="shared" si="9"/>
        <v>0</v>
      </c>
      <c r="BB16" s="127">
        <f t="shared" si="9"/>
        <v>14</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117</v>
      </c>
      <c r="J17" s="183">
        <v>281</v>
      </c>
      <c r="K17" s="183">
        <v>274</v>
      </c>
      <c r="L17" s="183">
        <v>124</v>
      </c>
      <c r="M17" s="183">
        <v>58</v>
      </c>
      <c r="N17" s="183">
        <v>152</v>
      </c>
      <c r="O17" s="183">
        <v>0</v>
      </c>
      <c r="P17" s="183">
        <v>11</v>
      </c>
      <c r="Q17" s="183">
        <v>16</v>
      </c>
      <c r="R17" s="183">
        <v>12</v>
      </c>
      <c r="S17" s="183">
        <v>154</v>
      </c>
      <c r="T17" s="183">
        <v>315</v>
      </c>
      <c r="U17" s="183">
        <v>307</v>
      </c>
      <c r="V17" s="183">
        <v>165</v>
      </c>
      <c r="W17" s="183">
        <v>54</v>
      </c>
      <c r="X17" s="189">
        <v>160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154</v>
      </c>
      <c r="AZ17" s="129">
        <f t="shared" si="14"/>
        <v>315</v>
      </c>
      <c r="BA17" s="129">
        <f t="shared" si="14"/>
        <v>307</v>
      </c>
      <c r="BB17" s="129">
        <f t="shared" si="14"/>
        <v>165</v>
      </c>
      <c r="BC17" s="125">
        <f>IF(ISNUMBER(W17),W17," - ")</f>
        <v>54</v>
      </c>
      <c r="BD17" s="126">
        <f>IF(ISNUMBER(BA17/AZ17),BA17/AZ17," - ")</f>
        <v>0.97460317460317458</v>
      </c>
      <c r="BE17" s="127">
        <f>IF(ISNUMBER(BB17/BA17),BB17/BA17, " - ")</f>
        <v>0.53745928338762217</v>
      </c>
      <c r="BF17" s="127">
        <f>IF(ISNUMBER(BC17/BA17),BC17/BA17, " - ")</f>
        <v>0.1758957654723127</v>
      </c>
      <c r="BG17" s="196">
        <f>IF(ISNUMBER((AY17+AZ17)/BA17),(AY17+AZ17)/BA17," - ")</f>
        <v>1.5276872964169381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2321</v>
      </c>
      <c r="J18" s="184">
        <f t="shared" si="15"/>
        <v>2575</v>
      </c>
      <c r="K18" s="184">
        <f t="shared" si="15"/>
        <v>2296</v>
      </c>
      <c r="L18" s="184">
        <f t="shared" si="15"/>
        <v>2600</v>
      </c>
      <c r="M18" s="184">
        <f t="shared" si="15"/>
        <v>396</v>
      </c>
      <c r="N18" s="184">
        <f t="shared" si="15"/>
        <v>1409</v>
      </c>
      <c r="O18" s="184">
        <f t="shared" si="15"/>
        <v>17</v>
      </c>
      <c r="P18" s="184">
        <f t="shared" si="15"/>
        <v>56</v>
      </c>
      <c r="Q18" s="184">
        <f t="shared" si="15"/>
        <v>96</v>
      </c>
      <c r="R18" s="184">
        <f t="shared" si="15"/>
        <v>263</v>
      </c>
      <c r="S18" s="184">
        <f t="shared" si="15"/>
        <v>2275</v>
      </c>
      <c r="T18" s="184">
        <f t="shared" si="15"/>
        <v>2455</v>
      </c>
      <c r="U18" s="184">
        <f t="shared" si="15"/>
        <v>2194</v>
      </c>
      <c r="V18" s="184">
        <f t="shared" si="15"/>
        <v>2555</v>
      </c>
      <c r="W18" s="184">
        <f t="shared" si="15"/>
        <v>353</v>
      </c>
      <c r="X18" s="184">
        <f t="shared" si="15"/>
        <v>1214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2275</v>
      </c>
      <c r="AZ18" s="184">
        <f>SUBTOTAL(9,AZ14:AZ17)</f>
        <v>2455</v>
      </c>
      <c r="BA18" s="184">
        <f>SUBTOTAL(9,BA14:BA17)</f>
        <v>2194</v>
      </c>
      <c r="BB18" s="184">
        <f>SUBTOTAL(9,BB14:BB17)</f>
        <v>2555</v>
      </c>
      <c r="BC18" s="184">
        <f>SUBTOTAL(9,BC14:BC17)</f>
        <v>353</v>
      </c>
      <c r="BD18" s="205">
        <f>IF(ISNUMBER(BA18/AZ18),BA18/AZ18," - ")</f>
        <v>0.89368635437881871</v>
      </c>
      <c r="BE18" s="206">
        <f>IF(ISNUMBER(BB18/BA18),BB18/BA18, " - ")</f>
        <v>1.1645396536007293</v>
      </c>
      <c r="BF18" s="206">
        <f>IF(ISNUMBER(BC18/BA18),BC18/BA18, " - ")</f>
        <v>0.16089334548769371</v>
      </c>
      <c r="BG18" s="207">
        <f>IF(ISNUMBER((AY18+AZ18)/BA18),(AY18+AZ18)/BA18," - ")</f>
        <v>2.1558796718322699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6084</v>
      </c>
      <c r="J19" s="134">
        <f t="shared" si="18"/>
        <v>5137</v>
      </c>
      <c r="K19" s="134">
        <f t="shared" si="18"/>
        <v>4503</v>
      </c>
      <c r="L19" s="134">
        <f t="shared" si="18"/>
        <v>6718</v>
      </c>
      <c r="M19" s="134">
        <f t="shared" si="18"/>
        <v>893</v>
      </c>
      <c r="N19" s="134">
        <f t="shared" si="18"/>
        <v>2487</v>
      </c>
      <c r="O19" s="134">
        <f t="shared" si="18"/>
        <v>967</v>
      </c>
      <c r="P19" s="134">
        <f t="shared" si="18"/>
        <v>610</v>
      </c>
      <c r="Q19" s="134">
        <f t="shared" si="18"/>
        <v>378</v>
      </c>
      <c r="R19" s="134">
        <f t="shared" si="18"/>
        <v>9454</v>
      </c>
      <c r="S19" s="134">
        <f t="shared" si="18"/>
        <v>4827</v>
      </c>
      <c r="T19" s="134">
        <f t="shared" si="18"/>
        <v>5043</v>
      </c>
      <c r="U19" s="134">
        <f t="shared" si="18"/>
        <v>4333</v>
      </c>
      <c r="V19" s="134">
        <f t="shared" si="18"/>
        <v>5556</v>
      </c>
      <c r="W19" s="134">
        <f t="shared" si="18"/>
        <v>837</v>
      </c>
      <c r="X19" s="134">
        <f t="shared" si="18"/>
        <v>2152</v>
      </c>
      <c r="Y19" s="134">
        <f t="shared" si="18"/>
        <v>216</v>
      </c>
      <c r="Z19" s="134">
        <f t="shared" si="18"/>
        <v>416</v>
      </c>
      <c r="AA19" s="134">
        <f t="shared" si="18"/>
        <v>353</v>
      </c>
      <c r="AB19" s="134">
        <f t="shared" si="18"/>
        <v>279</v>
      </c>
      <c r="AC19" s="134">
        <f t="shared" si="18"/>
        <v>0</v>
      </c>
      <c r="AD19" s="134">
        <f t="shared" si="18"/>
        <v>0</v>
      </c>
      <c r="AE19" s="134">
        <f t="shared" si="18"/>
        <v>0</v>
      </c>
      <c r="AF19" s="134">
        <f t="shared" si="18"/>
        <v>0</v>
      </c>
      <c r="AG19" s="134">
        <f t="shared" si="18"/>
        <v>118</v>
      </c>
      <c r="AH19" s="134">
        <f t="shared" si="18"/>
        <v>189</v>
      </c>
      <c r="AI19" s="134">
        <f t="shared" si="18"/>
        <v>215</v>
      </c>
      <c r="AJ19" s="134">
        <f t="shared" si="18"/>
        <v>93</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4945</v>
      </c>
      <c r="AZ19" s="134">
        <f>SUBTOTAL(9,AZ9:AZ18)</f>
        <v>5232</v>
      </c>
      <c r="BA19" s="134">
        <f>SUBTOTAL(9,BA9:BA18)</f>
        <v>4548</v>
      </c>
      <c r="BB19" s="134">
        <f>SUBTOTAL(9,BB9:BB18)</f>
        <v>5649</v>
      </c>
      <c r="BC19" s="135">
        <f>SUBTOTAL(9,BC9:BC18)</f>
        <v>1294</v>
      </c>
      <c r="BD19" s="213">
        <f>IF(ISNUMBER(BA19/AZ19),BA19/AZ19," - ")</f>
        <v>0.86926605504587151</v>
      </c>
      <c r="BE19" s="210">
        <f>IF(ISNUMBER(BB19/BA19),BB19/BA19, " - ")</f>
        <v>1.2420844327176781</v>
      </c>
      <c r="BF19" s="210">
        <f>IF(ISNUMBER(BC19/BA19),BC19/BA19, " - ")</f>
        <v>0.28452066842568163</v>
      </c>
      <c r="BG19" s="135">
        <f>IF(ISNUMBER((AY19+AZ19)/BA19),(AY19+AZ19)/BA19," - ")</f>
        <v>2.2376868953386104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iE92MDvyxkffX+msxIesSB4fBYfutHEO6zFrL+1esBHsqBxio4ZjCd7Ftlg99cM/MY33qN561TMLa3vU58V8w==" saltValue="L4+7+C2QqR1x8//nVV2L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QdRMCXgcxVjEJ+caCFFOI1pI443XTgok5l4sooSUw7ZwZNPSkaHROD56jHvia2VaFpd4t4Z8VFfaoQH0rtL7Q==" saltValue="Laear97tOG4N52Liqerl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DENIA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416</v>
      </c>
      <c r="O9" s="334"/>
      <c r="P9" s="334"/>
      <c r="Q9" s="226">
        <f>IF(ISNUMBER(Datos!P9),Datos!P9,0)</f>
        <v>549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279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279</v>
      </c>
      <c r="AI9" s="334" t="str">
        <f>IF(ISNUMBER(Datos!CD9),Datos!CD9,"-")</f>
        <v>-</v>
      </c>
      <c r="AJ9" s="334" t="str">
        <f>IF(ISNUMBER(Datos!EN9),Datos!EN9," - ")</f>
        <v xml:space="preserve"> - </v>
      </c>
      <c r="AK9" s="334"/>
      <c r="AL9" s="479"/>
      <c r="AM9" s="335">
        <f>IF(ISNUMBER(Datos!R9),Datos!R9," - ")</f>
        <v>9142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494</v>
      </c>
      <c r="BD9" s="229">
        <f>IF(ISNUMBER(Datos!N9),Datos!N9," - ")</f>
        <v>1056</v>
      </c>
      <c r="BE9" s="229" t="str">
        <f>IF(ISNUMBER(Datos!BW9),Datos!BW9," - ")</f>
        <v xml:space="preserve"> - </v>
      </c>
      <c r="BF9" s="228" t="str">
        <f>IF(ISNUMBER(Datos!BX9),Datos!BX9," - ")</f>
        <v xml:space="preserve"> - </v>
      </c>
      <c r="BG9" s="243">
        <f>IF(ISNUMBER(IF(J_V="SI",Datos!K9/Datos!J9,(Datos!K9+Datos!AA9)/(Datos!J9+Datos!Z9))),IF(J_V="SI",Datos!K9/Datos!J9,(Datos!K9+Datos!AA9)/(Datos!J9+Datos!Z9))," - ")</f>
        <v>0.85928449744463375</v>
      </c>
      <c r="BH9" s="260">
        <f>IF(ISNUMBER(((IF(J_V="SI",Datos!L9/Datos!K9,(Datos!L9+Datos!AB9)/(Datos!K9+Datos!AA9)))*11)/factor_trimestre),((IF(J_V="SI",Datos!L9/Datos!K9,(Datos!L9+Datos!AB9)/(Datos!K9+Datos!AA9)))*11)/factor_trimestre," - ")</f>
        <v>5.1578112609040447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3.0432822362488728E-2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56</v>
      </c>
      <c r="G10" s="333">
        <f>IF(ISNUMBER(Datos!I10),Datos!I10," - ")</f>
        <v>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3</v>
      </c>
      <c r="AD10" s="334"/>
      <c r="AE10" s="484"/>
      <c r="AF10" s="332">
        <f>IF(ISNUMBER(Datos!L10),Datos!L10,"-")</f>
        <v>61</v>
      </c>
      <c r="AG10" s="334"/>
      <c r="AH10" s="334"/>
      <c r="AI10" s="334"/>
      <c r="AJ10" s="334"/>
      <c r="AK10" s="334"/>
      <c r="AL10" s="479"/>
      <c r="AM10" s="335">
        <f>IF(ISNUMBER(Datos!R10),Datos!R10," - ")</f>
        <v>49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22</v>
      </c>
      <c r="BE10" s="229" t="str">
        <f>IF(ISNUMBER(Datos!BW10),Datos!BW10," - ")</f>
        <v xml:space="preserve"> - </v>
      </c>
      <c r="BF10" s="228" t="str">
        <f>IF(ISNUMBER(Datos!BX10),Datos!BX10," - ")</f>
        <v xml:space="preserve"> - </v>
      </c>
      <c r="BG10" s="243">
        <f>IF(ISNUMBER(Datos!K10/Datos!J10),Datos!K10/Datos!J10," - ")</f>
        <v>0.88372093023255816</v>
      </c>
      <c r="BH10" s="260">
        <f>IF(ISNUMBER(((Datos!L10/Datos!K10)*11)/factor_trimestre),((Datos!L10/Datos!K10)*11)/factor_trimestre," - ")</f>
        <v>4.8157894736842106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4.2553191489361701E-2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56</v>
      </c>
      <c r="G13" s="898">
        <f t="shared" si="0"/>
        <v>56</v>
      </c>
      <c r="H13" s="899">
        <f t="shared" si="0"/>
        <v>0</v>
      </c>
      <c r="I13" s="898">
        <f t="shared" si="0"/>
        <v>0</v>
      </c>
      <c r="J13" s="867">
        <f t="shared" si="0"/>
        <v>0</v>
      </c>
      <c r="K13" s="867">
        <f t="shared" si="0"/>
        <v>0</v>
      </c>
      <c r="L13" s="899">
        <f t="shared" si="0"/>
        <v>0</v>
      </c>
      <c r="M13" s="899">
        <f t="shared" si="0"/>
        <v>0</v>
      </c>
      <c r="N13" s="899">
        <f t="shared" si="0"/>
        <v>416</v>
      </c>
      <c r="O13" s="900">
        <f t="shared" si="0"/>
        <v>0</v>
      </c>
      <c r="P13" s="900">
        <f t="shared" si="0"/>
        <v>0</v>
      </c>
      <c r="Q13" s="899">
        <f t="shared" si="0"/>
        <v>554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282</v>
      </c>
      <c r="AD13" s="899">
        <f t="shared" si="1"/>
        <v>0</v>
      </c>
      <c r="AE13" s="899">
        <f t="shared" si="1"/>
        <v>0</v>
      </c>
      <c r="AF13" s="899">
        <f t="shared" si="1"/>
        <v>61</v>
      </c>
      <c r="AG13" s="899">
        <f t="shared" si="1"/>
        <v>0</v>
      </c>
      <c r="AH13" s="899">
        <f t="shared" si="1"/>
        <v>279</v>
      </c>
      <c r="AI13" s="899">
        <f t="shared" si="1"/>
        <v>0</v>
      </c>
      <c r="AJ13" s="899">
        <f t="shared" si="1"/>
        <v>0</v>
      </c>
      <c r="AK13" s="899">
        <f t="shared" si="1"/>
        <v>0</v>
      </c>
      <c r="AL13" s="899">
        <f t="shared" si="1"/>
        <v>0</v>
      </c>
      <c r="AM13" s="899">
        <f t="shared" si="1"/>
        <v>9191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497</v>
      </c>
      <c r="BD13" s="899">
        <f t="shared" si="1"/>
        <v>1078</v>
      </c>
      <c r="BE13" s="899">
        <f t="shared" si="1"/>
        <v>0</v>
      </c>
      <c r="BF13" s="899">
        <f t="shared" si="1"/>
        <v>0</v>
      </c>
      <c r="BG13" s="899">
        <f>IF(ISNUMBER(Datos!K13/Datos!J13),Datos!K13/Datos!J13," - ")</f>
        <v>0.86143637782982041</v>
      </c>
      <c r="BH13" s="903">
        <f>IF(ISNUMBER(((Datos!L13/Datos!K13)*11)/factor_trimestre),((Datos!L13/Datos!K13)*11)/factor_trimestre," - ")</f>
        <v>5.5976438604440419</v>
      </c>
      <c r="BI13" s="899">
        <f>IF(ISNUMBER('Resol  Asuntos'!D13/NºAsuntos!G13),'Resol  Asuntos'!D13/NºAsuntos!G13," - ")</f>
        <v>0.19414062500000001</v>
      </c>
      <c r="BJ13" s="899" t="str">
        <f>IF(ISNUMBER(Datos!CI13/Datos!CJ13),Datos!CI13/Datos!CJ13," - ")</f>
        <v xml:space="preserve"> - </v>
      </c>
      <c r="BK13" s="899">
        <f>SUBTOTAL(9,BK8:BK12)</f>
        <v>0</v>
      </c>
      <c r="BL13" s="899">
        <f>IF(ISNUMBER((I13-AB13+L13)/(F13)),(I13-AB13+L13)/(F13)," - ")</f>
        <v>-0.6785714285714286</v>
      </c>
      <c r="BM13" s="904">
        <f>SUBTOTAL(9,BM9:BM12)</f>
        <v>7.2986013851850426E-2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2190</v>
      </c>
      <c r="G15" s="598">
        <f>IF(ISNUMBER(IF(D_I="SI",Datos!I15,Datos!I15+Datos!AC15)),IF(D_I="SI",Datos!I15,Datos!I15+Datos!AC15)," - ")</f>
        <v>2190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2022</v>
      </c>
      <c r="AC15" s="226">
        <f>IF(ISNUMBER(Datos!Q15),Datos!Q15," - ")</f>
        <v>80</v>
      </c>
      <c r="AD15" s="334"/>
      <c r="AE15" s="484"/>
      <c r="AF15" s="596">
        <f>IF(ISNUMBER(IF(D_I="SI",Datos!L15,Datos!L15+Datos!AF15)),IF(D_I="SI",Datos!L15,Datos!L15+Datos!AF15)," - ")</f>
        <v>2462</v>
      </c>
      <c r="AG15" s="334"/>
      <c r="AH15" s="334"/>
      <c r="AI15" s="334"/>
      <c r="AJ15" s="334"/>
      <c r="AK15" s="334"/>
      <c r="AL15" s="479"/>
      <c r="AM15" s="335">
        <f>IF(ISNUMBER(Datos!R15),Datos!R15," - ")</f>
        <v>245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338</v>
      </c>
      <c r="BD15" s="229">
        <f>IF(ISNUMBER(Datos!N15),Datos!N15," - ")</f>
        <v>1257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0.88142981691368794</v>
      </c>
      <c r="BH15" s="260">
        <f>IF(ISNUMBER(((IF(D_I="SI",Datos!L15/Datos!K15,(Datos!L15+Datos!AF15)/(Datos!K15+Datos!AE15)))*11)/factor_trimestre),((IF(D_I="SI",Datos!L15/Datos!K15,(Datos!L15+Datos!AF15)/(Datos!K15+Datos!AE15)))*11)/factor_trimestre," - ")</f>
        <v>3.6528189910979232</v>
      </c>
      <c r="BI15" s="243">
        <f>IF(ISNUMBER('Resol  Asuntos'!D15/NºAsuntos!G15),'Resol  Asuntos'!D15/NºAsuntos!G15," - ")</f>
        <v>0.16716122650840751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14</v>
      </c>
      <c r="G16" s="598">
        <f>IF(ISNUMBER(IF(D_I="SI",Datos!I16,Datos!I16+Datos!AC16)),IF(D_I="SI",Datos!I16,Datos!I16+Datos!AC16)," - ")</f>
        <v>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14</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274</v>
      </c>
      <c r="AC17" s="226">
        <f>IF(ISNUMBER(Datos!Q17),Datos!Q17," - ")</f>
        <v>16</v>
      </c>
      <c r="AD17" s="334"/>
      <c r="AE17" s="484"/>
      <c r="AF17" s="332">
        <f>IF(ISNUMBER(Datos!L17),Datos!L17,"-")</f>
        <v>124</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58</v>
      </c>
      <c r="BD17" s="229">
        <f>IF(ISNUMBER(Datos!N17),Datos!N17," - ")</f>
        <v>152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0.97508896797153022</v>
      </c>
      <c r="BH17" s="260">
        <f>IF(ISNUMBER(((IF(D_I="SI",Datos!L17/Datos!K17,(Datos!L17+Datos!AF17)/(Datos!K17+Datos!AE17)))*11)/factor_trimestre),((IF(D_I="SI",Datos!L17/Datos!K17,(Datos!L17+Datos!AF17)/(Datos!K17+Datos!AE17)))*11)/factor_trimestre," - ")</f>
        <v>1.3576642335766425</v>
      </c>
      <c r="BI17" s="243">
        <f>IF(ISNUMBER('Resol  Asuntos'!D17/NºAsuntos!G17),'Resol  Asuntos'!D17/NºAsuntos!G17," - ")</f>
        <v>0.21167883211678831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2204</v>
      </c>
      <c r="G18" s="898">
        <f>SUBTOTAL(9,G15:G17)</f>
        <v>2321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2296</v>
      </c>
      <c r="AC18" s="899">
        <f t="shared" si="4"/>
        <v>96</v>
      </c>
      <c r="AD18" s="899">
        <f t="shared" si="4"/>
        <v>0</v>
      </c>
      <c r="AE18" s="899">
        <f t="shared" si="4"/>
        <v>0</v>
      </c>
      <c r="AF18" s="899">
        <f t="shared" si="4"/>
        <v>2600</v>
      </c>
      <c r="AG18" s="899">
        <f t="shared" si="4"/>
        <v>0</v>
      </c>
      <c r="AH18" s="899">
        <f t="shared" si="4"/>
        <v>0</v>
      </c>
      <c r="AI18" s="899">
        <f t="shared" si="4"/>
        <v>0</v>
      </c>
      <c r="AJ18" s="899">
        <f t="shared" si="4"/>
        <v>0</v>
      </c>
      <c r="AK18" s="899">
        <f t="shared" si="4"/>
        <v>0</v>
      </c>
      <c r="AL18" s="899">
        <f t="shared" si="4"/>
        <v>0</v>
      </c>
      <c r="AM18" s="899">
        <f t="shared" si="4"/>
        <v>263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396</v>
      </c>
      <c r="BD18" s="899">
        <f t="shared" si="4"/>
        <v>1409</v>
      </c>
      <c r="BE18" s="899">
        <f t="shared" si="4"/>
        <v>0</v>
      </c>
      <c r="BF18" s="899">
        <f t="shared" si="4"/>
        <v>0</v>
      </c>
      <c r="BG18" s="899">
        <f>IF(ISNUMBER(Datos!K18/Datos!J18),Datos!K18/Datos!J18," - ")</f>
        <v>0.89165048543689318</v>
      </c>
      <c r="BH18" s="903">
        <f>IF(ISNUMBER(((Datos!L18/Datos!K18)*11)/factor_trimestre),((Datos!L18/Datos!K18)*11)/factor_trimestre," - ")</f>
        <v>3.3972125435540073</v>
      </c>
      <c r="BI18" s="899">
        <f>SUBTOTAL(9,BI15:BI17)</f>
        <v>0.37884005862519582</v>
      </c>
      <c r="BJ18" s="899">
        <f>SUBTOTAL(9,BJ15:BJ17)</f>
        <v>0</v>
      </c>
      <c r="BK18" s="899">
        <f>SUBTOTAL(9,BK15:BK17)</f>
        <v>0</v>
      </c>
      <c r="BL18" s="899">
        <f>IF(ISNUMBER((I18-AB18+L18)/(F18)),(I18-AB18+L18)/(F18)," - ")</f>
        <v>-1.0417422867513613</v>
      </c>
      <c r="BM18" s="905">
        <f>IF(ISNUMBER((Datos!P18-Datos!Q18)/(Datos!R18-Datos!P18+Datos!Q18)),(Datos!P18-Datos!Q18)/(Datos!R18-Datos!P18+Datos!Q18)," - ")</f>
        <v>-0.132013201320132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2260</v>
      </c>
      <c r="G19" s="820">
        <f t="shared" si="6"/>
        <v>2377</v>
      </c>
      <c r="H19" s="822">
        <f t="shared" si="6"/>
        <v>0</v>
      </c>
      <c r="I19" s="820">
        <f t="shared" si="6"/>
        <v>0</v>
      </c>
      <c r="J19" s="822">
        <f t="shared" si="6"/>
        <v>0</v>
      </c>
      <c r="K19" s="822">
        <f t="shared" si="6"/>
        <v>0</v>
      </c>
      <c r="L19" s="881">
        <f t="shared" si="6"/>
        <v>0</v>
      </c>
      <c r="M19" s="881">
        <f t="shared" si="6"/>
        <v>0</v>
      </c>
      <c r="N19" s="881">
        <f t="shared" si="6"/>
        <v>416</v>
      </c>
      <c r="O19" s="881">
        <f t="shared" si="6"/>
        <v>0</v>
      </c>
      <c r="P19" s="881">
        <f t="shared" si="6"/>
        <v>0</v>
      </c>
      <c r="Q19" s="822">
        <f t="shared" si="6"/>
        <v>610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2334</v>
      </c>
      <c r="AC19" s="821">
        <f t="shared" si="7"/>
        <v>378</v>
      </c>
      <c r="AD19" s="821">
        <f t="shared" si="7"/>
        <v>0</v>
      </c>
      <c r="AE19" s="821">
        <f t="shared" si="7"/>
        <v>0</v>
      </c>
      <c r="AF19" s="828">
        <f t="shared" si="7"/>
        <v>2661</v>
      </c>
      <c r="AG19" s="828">
        <f t="shared" si="7"/>
        <v>0</v>
      </c>
      <c r="AH19" s="828">
        <f t="shared" si="7"/>
        <v>279</v>
      </c>
      <c r="AI19" s="828">
        <f t="shared" si="7"/>
        <v>0</v>
      </c>
      <c r="AJ19" s="821">
        <f t="shared" si="7"/>
        <v>0</v>
      </c>
      <c r="AK19" s="828">
        <f t="shared" si="7"/>
        <v>0</v>
      </c>
      <c r="AL19" s="828">
        <f t="shared" si="7"/>
        <v>0</v>
      </c>
      <c r="AM19" s="828">
        <f t="shared" si="7"/>
        <v>9454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893</v>
      </c>
      <c r="BD19" s="820">
        <f t="shared" si="7"/>
        <v>2487</v>
      </c>
      <c r="BE19" s="820">
        <f t="shared" si="7"/>
        <v>0</v>
      </c>
      <c r="BF19" s="830">
        <f t="shared" si="7"/>
        <v>0</v>
      </c>
      <c r="BG19" s="915">
        <f>IF(ISNUMBER(Datos!K19/Datos!J19),Datos!K19/Datos!J19," - ")</f>
        <v>0.87658166244890012</v>
      </c>
      <c r="BH19" s="915">
        <f>IF(ISNUMBER(((Datos!L19/Datos!K19)*11)/factor_trimestre),((Datos!L19/Datos!K19)*11)/factor_trimestre," - ")</f>
        <v>4.4756828780812796</v>
      </c>
      <c r="BI19" s="813">
        <f>IF(ISNUMBER(Datos!J19/Datos!I19),Datos!J19/Datos!I19," - ")</f>
        <v>0.84434582511505585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-1.0327433628318583</v>
      </c>
      <c r="BM19" s="889">
        <f>IF(ISNUMBER((Datos!P19-Datos!Q19+R19)/(Datos!R19-Datos!P19+Datos!Q19-R19)),(Datos!P19-Datos!Q19+R19)/(Datos!R19-Datos!P19+Datos!Q19-R19)," - ")</f>
        <v>2.5157232704402517E-2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792.33333333333337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1180.4770222244904</v>
      </c>
      <c r="G21" s="552">
        <f>IF(ISNUMBER(STDEV(G8:G18)),STDEV(G8:G18),"-")</f>
        <v>1134.5964333923612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1077.6233108094868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227.22707333665781</v>
      </c>
      <c r="BD21" s="551"/>
      <c r="BE21" s="551">
        <f>IF(ISNUMBER(STDEV(BE8:BE18)),STDEV(BE8:BE18),"-")</f>
        <v>0</v>
      </c>
      <c r="BF21" s="556">
        <f>IF(ISNUMBER(STDEV(BF8:BF18)),STDEV(BF8:BF18),"-")</f>
        <v>0</v>
      </c>
      <c r="BG21" s="775">
        <f>IF(ISNUMBER(STDEV(BG8:BG18)),STDEV(BG8:BG18),"-")</f>
        <v>4.2634604249825757E-2</v>
      </c>
      <c r="BH21" s="776">
        <f>IF(ISNUMBER(STDEV(BH8:BH18)),STDEV(BH8:BH18),"-")</f>
        <v>1.5507583332760639</v>
      </c>
      <c r="BI21" s="249">
        <f>IF(ISNUMBER(STDEV(BI8:BI18)),STDEV(BI8:BI18),"-")</f>
        <v>9.5691334620109605E-2</v>
      </c>
      <c r="BJ21" s="230" t="str">
        <f>IF(ISNUMBER(BL21/BM21),BL21/BM21," - ")</f>
        <v xml:space="preserve"> - </v>
      </c>
      <c r="BK21" s="575"/>
      <c r="BL21" s="559">
        <f>IF(ISNUMBER(STDEV(BL8:BL18)),STDEV(BL8:BL18),"-")</f>
        <v>0.25680057654836846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vuLo3nVMiNLH9rPqbgtxEjEHo8OkM7u0Xw7OCBJesW6nOGj4XRvzvRZ7tE4nxk0BHqrAFBgbdat6TkOPP7ShQ==" saltValue="yCJReQGa1AiFujRO2LiZ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DENIA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549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279</v>
      </c>
      <c r="AA9" s="332" t="str">
        <f>IF(ISNUMBER(IF(J_V="SI",Datos!L9,Datos!L9+Datos!AB9)-IF(Monitorios="SI",Datos!CD9,0)),
                          IF(J_V="SI",Datos!L9,Datos!L9+Datos!AB9)-IF(Monitorios="SI",Datos!CD9,0),
                          " - ")</f>
        <v xml:space="preserve"> - </v>
      </c>
      <c r="AB9" s="334"/>
      <c r="AC9" s="334"/>
      <c r="AD9" s="484"/>
      <c r="AE9" s="484">
        <f>IF(ISNUMBER(Datos!R9),Datos!R9," - ")</f>
        <v>9142</v>
      </c>
      <c r="AF9" s="229" t="str">
        <f>IF(ISNUMBER(Datos!BV9),Datos!BV9," - ")</f>
        <v xml:space="preserve"> - </v>
      </c>
      <c r="AG9" s="225" t="str">
        <f>IF(ISNUMBER(Datos!DV9),Datos!DV9," - ")</f>
        <v xml:space="preserve"> - </v>
      </c>
      <c r="AH9" s="298"/>
      <c r="AI9" s="227"/>
      <c r="AJ9" s="225">
        <f>IF(ISNUMBER(Datos!M9),Datos!M9," - ")</f>
        <v>494</v>
      </c>
      <c r="AK9" s="229">
        <f>IF(ISNUMBER(Datos!N9),Datos!N9," - ")</f>
        <v>1056</v>
      </c>
      <c r="AL9" s="229" t="str">
        <f>IF(ISNUMBER(Datos!BW9),Datos!BW9," - ")</f>
        <v xml:space="preserve"> - </v>
      </c>
      <c r="AM9" s="228" t="str">
        <f>IF(ISNUMBER(Datos!BX9),Datos!BX9," - ")</f>
        <v xml:space="preserve"> - </v>
      </c>
      <c r="AN9" s="243"/>
      <c r="AO9" s="260">
        <f>IF(ISNUMBER(((NºAsuntos!I9/NºAsuntos!G9)*11)/factor_trimestre),((NºAsuntos!I9/NºAsuntos!G9)*11)/factor_trimestre," - ")</f>
        <v>5.1578112609040447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3.0432822362488728E-2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56</v>
      </c>
      <c r="G10" s="225">
        <f>IF(ISNUMBER(Datos!I10),Datos!I10," - ")</f>
        <v>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3</v>
      </c>
      <c r="AA10" s="332">
        <f>IF(ISNUMBER(Datos!L10),Datos!L10,"-")</f>
        <v>61</v>
      </c>
      <c r="AB10" s="334"/>
      <c r="AC10" s="334"/>
      <c r="AD10" s="484"/>
      <c r="AE10" s="484">
        <f>IF(ISNUMBER(Datos!R10),Datos!R10," - ")</f>
        <v>49</v>
      </c>
      <c r="AF10" s="229" t="str">
        <f>IF(ISNUMBER(Datos!BV10),Datos!BV10," - ")</f>
        <v xml:space="preserve"> - </v>
      </c>
      <c r="AG10" s="225" t="str">
        <f>IF(ISNUMBER(Datos!DV10),Datos!DV10," - ")</f>
        <v xml:space="preserve"> - </v>
      </c>
      <c r="AH10" s="298"/>
      <c r="AI10" s="227"/>
      <c r="AJ10" s="225">
        <f>IF(ISNUMBER(Datos!M10),Datos!M10," - ")</f>
        <v>3</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4.8157894736842106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4.2553191489361701E-2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56</v>
      </c>
      <c r="G13" s="898">
        <f>SUBTOTAL(9,G8:G12)</f>
        <v>56</v>
      </c>
      <c r="H13" s="908"/>
      <c r="I13" s="898">
        <f t="shared" ref="I13:N13" si="0">SUBTOTAL(9,I8:I12)</f>
        <v>0</v>
      </c>
      <c r="J13" s="867">
        <f t="shared" si="0"/>
        <v>0</v>
      </c>
      <c r="K13" s="908">
        <f t="shared" si="0"/>
        <v>0</v>
      </c>
      <c r="L13" s="908">
        <f t="shared" si="0"/>
        <v>0</v>
      </c>
      <c r="M13" s="908">
        <f t="shared" si="0"/>
        <v>0</v>
      </c>
      <c r="N13" s="908">
        <f t="shared" si="0"/>
        <v>554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282</v>
      </c>
      <c r="AA13" s="900">
        <f t="shared" si="2"/>
        <v>61</v>
      </c>
      <c r="AB13" s="900">
        <f t="shared" si="2"/>
        <v>0</v>
      </c>
      <c r="AC13" s="900">
        <f t="shared" si="2"/>
        <v>0</v>
      </c>
      <c r="AD13" s="900">
        <f t="shared" si="2"/>
        <v>0</v>
      </c>
      <c r="AE13" s="900">
        <f t="shared" si="2"/>
        <v>9191</v>
      </c>
      <c r="AF13" s="908">
        <f t="shared" si="2"/>
        <v>0</v>
      </c>
      <c r="AG13" s="908">
        <f t="shared" si="2"/>
        <v>0</v>
      </c>
      <c r="AH13" s="908">
        <f t="shared" si="2"/>
        <v>0</v>
      </c>
      <c r="AI13" s="908">
        <f t="shared" si="2"/>
        <v>0</v>
      </c>
      <c r="AJ13" s="908">
        <f t="shared" si="2"/>
        <v>497</v>
      </c>
      <c r="AK13" s="908">
        <f t="shared" si="2"/>
        <v>1078</v>
      </c>
      <c r="AL13" s="908">
        <f t="shared" si="2"/>
        <v>0</v>
      </c>
      <c r="AM13" s="908">
        <f t="shared" si="2"/>
        <v>0</v>
      </c>
      <c r="AN13" s="908">
        <f t="shared" si="2"/>
        <v>0</v>
      </c>
      <c r="AO13" s="904">
        <f>IF(ISNUMBER(((NºAsuntos!I13/NºAsuntos!G13)*11)/factor_trimestre),((NºAsuntos!I13/NºAsuntos!G13)*11)/factor_trimestre," - ")</f>
        <v>5.1527343749999996</v>
      </c>
      <c r="AP13" s="910" t="str">
        <f>IF(ISNUMBER(Datos!CI13/Datos!CJ13),Datos!CI13/Datos!CJ13," - ")</f>
        <v xml:space="preserve"> - </v>
      </c>
      <c r="AQ13" s="928">
        <f t="shared" ref="AQ13:AV13" si="3">SUBTOTAL(9,AQ9:AQ12)</f>
        <v>0</v>
      </c>
      <c r="AR13" s="928">
        <f t="shared" si="3"/>
        <v>7.2986013851850426E-2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2190</v>
      </c>
      <c r="G15" s="225">
        <f>IF(ISNUMBER(IF(D_I="SI",Datos!I15,Datos!I15+Datos!AC15)),IF(D_I="SI",Datos!I15,Datos!I15+Datos!AC15)," - ")</f>
        <v>2190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2022</v>
      </c>
      <c r="Z15" s="619">
        <f>IF(ISNUMBER(Datos!Q15),Datos!Q15," - ")</f>
        <v>80</v>
      </c>
      <c r="AA15" s="332">
        <f>IF(ISNUMBER(IF(D_I="SI",Datos!L15,Datos!L15+Datos!AF15)),IF(D_I="SI",Datos!L15,Datos!L15+Datos!AF15)," - ")</f>
        <v>2462</v>
      </c>
      <c r="AB15" s="334"/>
      <c r="AC15" s="334"/>
      <c r="AD15" s="484"/>
      <c r="AE15" s="484">
        <f>IF(ISNUMBER(Datos!R15),Datos!R15," - ")</f>
        <v>245</v>
      </c>
      <c r="AF15" s="229" t="str">
        <f>IF(ISNUMBER(Datos!BV15),Datos!BV15," - ")</f>
        <v xml:space="preserve"> - </v>
      </c>
      <c r="AG15" s="225"/>
      <c r="AH15" s="298"/>
      <c r="AI15" s="227"/>
      <c r="AJ15" s="225">
        <f>IF(ISNUMBER(Datos!M15),Datos!M15," - ")</f>
        <v>338</v>
      </c>
      <c r="AK15" s="229">
        <f>IF(ISNUMBER(Datos!N15),Datos!N15," - ")</f>
        <v>1257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3.6528189910979232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14</v>
      </c>
      <c r="G16" s="225">
        <f>IF(ISNUMBER(IF(D_I="SI",Datos!I16,Datos!I16+Datos!AC16)),IF(D_I="SI",Datos!I16,Datos!I16+Datos!AC16)," - ")</f>
        <v>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14</v>
      </c>
      <c r="AB16" s="334"/>
      <c r="AC16" s="334"/>
      <c r="AD16" s="484"/>
      <c r="AE16" s="484">
        <f>IF(ISNUMBER(Datos!R16),Datos!R16," - ")</f>
        <v>6</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274</v>
      </c>
      <c r="Z17" s="619">
        <f>IF(ISNUMBER(Datos!Q17),Datos!Q17," - ")</f>
        <v>16</v>
      </c>
      <c r="AA17" s="332">
        <f>IF(ISNUMBER(Datos!L17),Datos!L17,"-")</f>
        <v>124</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58</v>
      </c>
      <c r="AK17" s="229">
        <f>IF(ISNUMBER(Datos!N17),Datos!N17," - ")</f>
        <v>152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1.3576642335766425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2204</v>
      </c>
      <c r="G18" s="898">
        <f>SUBTOTAL(9,G15:G17)</f>
        <v>2321</v>
      </c>
      <c r="H18" s="932">
        <f>SUBTOTAL(9,H15:H17)</f>
        <v>0</v>
      </c>
      <c r="I18" s="911">
        <f>SUBTOTAL(9,I15:I17)</f>
        <v>0</v>
      </c>
      <c r="J18" s="867">
        <f>SUBTOTAL(9,J14:J17)</f>
        <v>0</v>
      </c>
      <c r="K18" s="932">
        <f t="shared" ref="K18:S18" si="4">SUBTOTAL(9,K15:K17)</f>
        <v>0</v>
      </c>
      <c r="L18" s="932">
        <f t="shared" si="4"/>
        <v>0</v>
      </c>
      <c r="M18" s="932">
        <f t="shared" si="4"/>
        <v>0</v>
      </c>
      <c r="N18" s="932">
        <f t="shared" si="4"/>
        <v>56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2296</v>
      </c>
      <c r="Z18" s="932">
        <f t="shared" si="5"/>
        <v>96</v>
      </c>
      <c r="AA18" s="932">
        <f t="shared" si="5"/>
        <v>2600</v>
      </c>
      <c r="AB18" s="932">
        <f t="shared" si="5"/>
        <v>0</v>
      </c>
      <c r="AC18" s="932">
        <f t="shared" si="5"/>
        <v>0</v>
      </c>
      <c r="AD18" s="932">
        <f t="shared" si="5"/>
        <v>0</v>
      </c>
      <c r="AE18" s="932">
        <f t="shared" si="5"/>
        <v>263</v>
      </c>
      <c r="AF18" s="932">
        <f t="shared" si="5"/>
        <v>0</v>
      </c>
      <c r="AG18" s="932">
        <f t="shared" si="5"/>
        <v>0</v>
      </c>
      <c r="AH18" s="932">
        <f t="shared" si="5"/>
        <v>0</v>
      </c>
      <c r="AI18" s="932">
        <f t="shared" si="5"/>
        <v>0</v>
      </c>
      <c r="AJ18" s="932">
        <f t="shared" si="5"/>
        <v>396</v>
      </c>
      <c r="AK18" s="932">
        <f t="shared" si="5"/>
        <v>1409</v>
      </c>
      <c r="AL18" s="932">
        <f t="shared" si="5"/>
        <v>0</v>
      </c>
      <c r="AM18" s="932">
        <f t="shared" si="5"/>
        <v>0</v>
      </c>
      <c r="AN18" s="932">
        <f t="shared" si="5"/>
        <v>0</v>
      </c>
      <c r="AO18" s="934">
        <f>IF(ISNUMBER(((NºAsuntos!I18/NºAsuntos!G18)*11)/factor_trimestre),((NºAsuntos!I18/NºAsuntos!G18)*11)/factor_trimestre," - ")</f>
        <v>3.3972125435540073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2260</v>
      </c>
      <c r="G19" s="820">
        <f t="shared" si="7"/>
        <v>2377</v>
      </c>
      <c r="H19" s="821">
        <f t="shared" si="7"/>
        <v>0</v>
      </c>
      <c r="I19" s="820">
        <f t="shared" si="7"/>
        <v>0</v>
      </c>
      <c r="J19" s="822">
        <f t="shared" si="7"/>
        <v>0</v>
      </c>
      <c r="K19" s="820">
        <f t="shared" si="7"/>
        <v>0</v>
      </c>
      <c r="L19" s="823">
        <f t="shared" si="7"/>
        <v>0</v>
      </c>
      <c r="M19" s="820">
        <f t="shared" si="7"/>
        <v>0</v>
      </c>
      <c r="N19" s="821">
        <f t="shared" si="7"/>
        <v>610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2334</v>
      </c>
      <c r="Z19" s="827">
        <f t="shared" si="8"/>
        <v>378</v>
      </c>
      <c r="AA19" s="828">
        <f t="shared" si="8"/>
        <v>2661</v>
      </c>
      <c r="AB19" s="828">
        <f t="shared" si="8"/>
        <v>0</v>
      </c>
      <c r="AC19" s="828">
        <f t="shared" si="8"/>
        <v>0</v>
      </c>
      <c r="AD19" s="829">
        <f t="shared" si="8"/>
        <v>0</v>
      </c>
      <c r="AE19" s="829">
        <f t="shared" si="8"/>
        <v>9454</v>
      </c>
      <c r="AF19" s="830">
        <f t="shared" si="8"/>
        <v>0</v>
      </c>
      <c r="AG19" s="831">
        <f t="shared" si="8"/>
        <v>0</v>
      </c>
      <c r="AH19" s="832">
        <f t="shared" si="8"/>
        <v>0</v>
      </c>
      <c r="AI19" s="830">
        <f t="shared" si="8"/>
        <v>0</v>
      </c>
      <c r="AJ19" s="820">
        <f t="shared" si="8"/>
        <v>893</v>
      </c>
      <c r="AK19" s="820">
        <f t="shared" si="8"/>
        <v>2487</v>
      </c>
      <c r="AL19" s="820">
        <f t="shared" si="8"/>
        <v>0</v>
      </c>
      <c r="AM19" s="833">
        <f t="shared" si="8"/>
        <v>0</v>
      </c>
      <c r="AN19" s="823">
        <f>IF(ISNUMBER(Datos!K19/Datos!J19),Datos!K19/Datos!J19," - ")</f>
        <v>0.87658166244890012</v>
      </c>
      <c r="AO19" s="823">
        <f>IF(ISNUMBER(FIND("06",Criterios!A8,1)),(IF(ISNUMBER(((Datos!R19/Datos!Q19)*11)/factor_trimestre),((Datos!R19/Datos!Q19)*11)/factor_trimestre," - ")),(IF(ISNUMBER(((Datos!L19/Datos!K19)*11)/factor_trimestre),((Datos!L19/Datos!K19)*11)/factor_trimestre," - ")))</f>
        <v>4.4756828780812796</v>
      </c>
      <c r="AP19" s="834" t="str">
        <f>IF(ISNUMBER(Datos!CI19/Datos!CJ19),Datos!CI19/Datos!CJ19," - ")</f>
        <v xml:space="preserve"> - </v>
      </c>
      <c r="AQ19" s="834">
        <f>IF(OR(ISNUMBER(FIND("01",Criterios!A8,1)),ISNUMBER(FIND("02",Criterios!A8,1)),ISNUMBER(FIND("03",Criterios!A8,1)),ISNUMBER(FIND("04",Criterios!A8,1))),(J19-Y19+K19)/(F19-K19),(I19-Y19+K19)/(F19-K19))</f>
        <v>-1.0327433628318583</v>
      </c>
      <c r="AR19" s="834">
        <f>IF(ISNUMBER((Datos!P19-Datos!Q19+O19)/(Datos!R19-Datos!P19+Datos!Q19-O19)),(Datos!P19-Datos!Q19+O19)/(Datos!R19-Datos!P19+Datos!Q19-O19)," - ")</f>
        <v>2.5157232704402517E-2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792.33333333333337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1180.4770222244904</v>
      </c>
      <c r="G21" s="552">
        <f>IF(ISNUMBER(STDEV(G8:G18)),STDEV(G8:G18),"-")</f>
        <v>1134.5964333923612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227.22707333665781</v>
      </c>
      <c r="AK21" s="252"/>
      <c r="AL21" s="252">
        <f>IF(ISNUMBER(STDEV(AL8:AL18)),STDEV(AL8:AL18),"-")</f>
        <v>0</v>
      </c>
      <c r="AM21" s="254">
        <f>IF(ISNUMBER(STDEV(AM8:AM18)),STDEV(AM8:AM18),"-")</f>
        <v>0</v>
      </c>
      <c r="AN21" s="539">
        <f>IF(ISNUMBER(STDEV(AN8:AN18)),STDEV(AN8:AN18),"-")</f>
        <v>0</v>
      </c>
      <c r="AO21" s="540">
        <f>IF(ISNUMBER(STDEV(AO8:AO18)),STDEV(AO8:AO18),"-")</f>
        <v>1.4672745975581025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KzbhlhPRNTKe7quCAYbWfVnt1li0V7WIZSh8J9phxU+kaF6dzcx1FosTbdRf7KKuP+pa91HzrT9e2XQ+2KCxQ==" saltValue="VsBTO4EYa2jpHgkZ8RB51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ugTq85b+6vNE9FQu95jsZ8VY83o0/cWsro4zp6Eda0Rk1lC0p9e2MG6F3JABndxNdXi/bJpwVoR+i3MCdx60Q==" saltValue="WrA7k6owtMw7QLgcd7ZJ2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08dB4mMw5ogZ5MXumVqGXUcqH39HTfEQ+zKwOxOetPFDM01o1Q/EoKPvd/iaam1Mhu77OSuT6ed3DzzLnm2A==" saltValue="A7L2igrrtdpKF3omF6qn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DENIA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0.19414062500000001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0.13727815244129457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VKzvO+fSltgTORRGPAy7YIB8mRTQNK4JBYaP6dsk1RVaHtOqKu9Mq0iGVfFJUWo/tELq8fPPoARkVxlMLrzg==" saltValue="JLdF4PCdbXhMpE6lm18s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e2cvnP3wF7ZToBdLF8jOafZ0h4gO6CCv0CN28rMdzU/SNA02O8K3b7Cl7yQKhcfpc+Ilo/j7O1fhPdGWiTtDdw==" saltValue="wbQZz41nl9wrejVE61fD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DENIA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56</v>
      </c>
      <c r="G10" s="684">
        <f>IF(ISNUMBER(Datos!I10),Datos!I10," - ")</f>
        <v>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4.8157894736842106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56</v>
      </c>
      <c r="G13" s="938">
        <f t="shared" si="0"/>
        <v>56</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0</v>
      </c>
      <c r="AE13" s="939">
        <f t="shared" si="1"/>
        <v>0</v>
      </c>
      <c r="AF13" s="939">
        <f t="shared" si="1"/>
        <v>61</v>
      </c>
      <c r="AG13" s="939">
        <f t="shared" si="1"/>
        <v>0</v>
      </c>
      <c r="AH13" s="939">
        <f t="shared" si="1"/>
        <v>0</v>
      </c>
      <c r="AI13" s="939">
        <f t="shared" si="1"/>
        <v>0</v>
      </c>
      <c r="AJ13" s="939">
        <f t="shared" si="1"/>
        <v>0</v>
      </c>
      <c r="AK13" s="939">
        <f t="shared" si="1"/>
        <v>0</v>
      </c>
      <c r="AL13" s="939">
        <f t="shared" si="1"/>
        <v>3</v>
      </c>
      <c r="AM13" s="939">
        <f t="shared" si="1"/>
        <v>22</v>
      </c>
      <c r="AN13" s="939">
        <f t="shared" si="1"/>
        <v>0</v>
      </c>
      <c r="AO13" s="939">
        <f t="shared" si="1"/>
        <v>0</v>
      </c>
      <c r="AP13" s="944">
        <f>IF(ISNUMBER(((Datos!L13/Datos!K13)*11)/factor_trimestre),((Datos!L13/Datos!K13)*11)/factor_trimestre," - ")</f>
        <v>5.5976438604440419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-0.6785714285714286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3.3972125435540073</v>
      </c>
      <c r="AQ18" s="944">
        <f>IF(ISNUMBER(((Datos!M18/Datos!L18)*11)/factor_trimestre),((Datos!M18/Datos!L18)*11)/factor_trimestre," - ")</f>
        <v>0.45692307692307699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-0.132013201320132</v>
      </c>
      <c r="AW18" s="946">
        <f>IF(ISNUMBER((Datos!Q18-Datos!R18)/(Datos!S18-Datos!Q18+Datos!R18)),(Datos!Q18-Datos!R18)/(Datos!S18-Datos!Q18+Datos!R18)," - ")</f>
        <v>-6.8386568386568383E-2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56</v>
      </c>
      <c r="G19" s="951">
        <f t="shared" si="4"/>
        <v>56</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0</v>
      </c>
      <c r="AE19" s="957">
        <f t="shared" si="5"/>
        <v>0</v>
      </c>
      <c r="AF19" s="958">
        <f t="shared" si="5"/>
        <v>61</v>
      </c>
      <c r="AG19" s="958">
        <f t="shared" si="5"/>
        <v>0</v>
      </c>
      <c r="AH19" s="958">
        <f t="shared" si="5"/>
        <v>0</v>
      </c>
      <c r="AI19" s="958">
        <f t="shared" si="5"/>
        <v>0</v>
      </c>
      <c r="AJ19" s="959">
        <f t="shared" si="5"/>
        <v>0</v>
      </c>
      <c r="AK19" s="959">
        <f t="shared" si="5"/>
        <v>0</v>
      </c>
      <c r="AL19" s="951">
        <f t="shared" si="5"/>
        <v>3</v>
      </c>
      <c r="AM19" s="951">
        <f t="shared" si="5"/>
        <v>22</v>
      </c>
      <c r="AN19" s="951">
        <f t="shared" si="5"/>
        <v>0</v>
      </c>
      <c r="AO19" s="951">
        <f t="shared" si="5"/>
        <v>0</v>
      </c>
      <c r="AP19" s="951">
        <f>IF(ISNUMBER(((Datos!L19/Datos!K19)*11)/factor_trimestre),((Datos!L19/Datos!K19)*11)/factor_trimestre," - ")</f>
        <v>4.4756828780812796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-0.6785714285714286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2.5157232704402517E-2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32.331615074619044</v>
      </c>
      <c r="G21" s="737">
        <f>IF(ISNUMBER(STDEV(G8:G18)),STDEV(G8:G18),"-")</f>
        <v>32.331615074619044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1.7320508075688772</v>
      </c>
      <c r="AM21" s="736"/>
      <c r="AN21" s="736">
        <f>IF(ISNUMBER(STDEV(AN8:AN18)),STDEV(AN8:AN18),"-")</f>
        <v>0</v>
      </c>
      <c r="AO21" s="742">
        <f>IF(ISNUMBER(STDEV(AO8:AO18)),STDEV(AO8:AO18),"-")</f>
        <v>0</v>
      </c>
      <c r="AP21" s="779">
        <f>IF(ISNUMBER(STDEV(AP8:AP18)),STDEV(AP8:AP18),"-")</f>
        <v>1.1154636382198222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YRKIF30Kagnl5cMlvoZLN/gl6M5A6AfpohHkAwBp1Lf6eBjttBw4KXGO2h4PX04dv5y+As3INqVC+B8bDPQiQ==" saltValue="WA298ok3tiZrIbdw5ds+G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